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56" windowWidth="15240" windowHeight="9270" activeTab="0"/>
  </bookViews>
  <sheets>
    <sheet name="GCS Main" sheetId="1" r:id="rId1"/>
    <sheet name="Proto" sheetId="2" r:id="rId2"/>
    <sheet name="Deriv" sheetId="3" r:id="rId3"/>
    <sheet name="Tube-Chan" sheetId="4" r:id="rId4"/>
    <sheet name="Beale" sheetId="5" r:id="rId5"/>
    <sheet name="Compare" sheetId="6" r:id="rId6"/>
  </sheets>
  <definedNames>
    <definedName name="exp">'Proto'!#REF!</definedName>
    <definedName name="_xlnm.Print_Area" localSheetId="5">'Compare'!$A$4:$N$31</definedName>
    <definedName name="_xlnm.Print_Area" localSheetId="2">'Deriv'!$A$1:$C$49</definedName>
    <definedName name="_xlnm.Print_Area" localSheetId="0">'GCS Main'!$A$1:$E$32</definedName>
    <definedName name="_xlnm.Print_Area" localSheetId="1">'Deriv'!$A$1:$C$48</definedName>
    <definedName name="sqrt">'Proto'!#REF!</definedName>
  </definedNames>
  <calcPr fullCalcOnLoad="1"/>
</workbook>
</file>

<file path=xl/sharedStrings.xml><?xml version="1.0" encoding="utf-8"?>
<sst xmlns="http://schemas.openxmlformats.org/spreadsheetml/2006/main" count="394" uniqueCount="239">
  <si>
    <t xml:space="preserve">From CH. 5 &amp; 6 of 'The Regenerator and the Stirling Engine' by Dr. Allan J. Organ, ISBN1860580106 </t>
  </si>
  <si>
    <t>Enter</t>
  </si>
  <si>
    <t>Results</t>
  </si>
  <si>
    <t>Derivative Engine Gas Circuit</t>
  </si>
  <si>
    <t>Values</t>
  </si>
  <si>
    <t>P</t>
  </si>
  <si>
    <t>Power in Watts</t>
  </si>
  <si>
    <t>Watts</t>
  </si>
  <si>
    <t>rpm</t>
  </si>
  <si>
    <t>Revolutions per Minute</t>
  </si>
  <si>
    <r>
      <t>p</t>
    </r>
    <r>
      <rPr>
        <b/>
        <vertAlign val="subscript"/>
        <sz val="10"/>
        <color indexed="17"/>
        <rFont val="Arial"/>
        <family val="2"/>
      </rPr>
      <t>ref</t>
    </r>
  </si>
  <si>
    <t>Reference Pressure (Mpa)</t>
  </si>
  <si>
    <t>Mpa</t>
  </si>
  <si>
    <r>
      <t>V</t>
    </r>
    <r>
      <rPr>
        <b/>
        <vertAlign val="subscript"/>
        <sz val="10"/>
        <color indexed="17"/>
        <rFont val="Arial"/>
        <family val="2"/>
      </rPr>
      <t>sw</t>
    </r>
  </si>
  <si>
    <r>
      <t>Swept Volume   in CC (cm</t>
    </r>
    <r>
      <rPr>
        <vertAlign val="superscript"/>
        <sz val="10"/>
        <color indexed="17"/>
        <rFont val="Arial"/>
        <family val="2"/>
      </rPr>
      <t>3</t>
    </r>
    <r>
      <rPr>
        <sz val="10"/>
        <color indexed="17"/>
        <rFont val="Arial"/>
        <family val="2"/>
      </rPr>
      <t>)</t>
    </r>
  </si>
  <si>
    <r>
      <t>cm</t>
    </r>
    <r>
      <rPr>
        <vertAlign val="superscript"/>
        <sz val="10"/>
        <rFont val="Arial"/>
        <family val="2"/>
      </rPr>
      <t>3</t>
    </r>
  </si>
  <si>
    <t>Values of Gas Parameters</t>
  </si>
  <si>
    <t>Hydrogen</t>
  </si>
  <si>
    <t xml:space="preserve">R </t>
  </si>
  <si>
    <t>g</t>
  </si>
  <si>
    <r>
      <t>m</t>
    </r>
    <r>
      <rPr>
        <vertAlign val="subscript"/>
        <sz val="10"/>
        <color indexed="17"/>
        <rFont val="Arial"/>
        <family val="2"/>
      </rPr>
      <t xml:space="preserve">ref </t>
    </r>
  </si>
  <si>
    <r>
      <t>Lref, S</t>
    </r>
    <r>
      <rPr>
        <vertAlign val="subscript"/>
        <sz val="10"/>
        <rFont val="Arial"/>
        <family val="2"/>
      </rPr>
      <t>th</t>
    </r>
  </si>
  <si>
    <r>
      <t>Reference Length or Thermodynamic Stroke =(V</t>
    </r>
    <r>
      <rPr>
        <vertAlign val="subscript"/>
        <sz val="10"/>
        <rFont val="Arial"/>
        <family val="2"/>
      </rPr>
      <t>sw)</t>
    </r>
    <r>
      <rPr>
        <vertAlign val="superscript"/>
        <sz val="10"/>
        <rFont val="Arial"/>
        <family val="2"/>
      </rPr>
      <t>1/3</t>
    </r>
    <r>
      <rPr>
        <sz val="10"/>
        <rFont val="Arial"/>
        <family val="2"/>
      </rPr>
      <t xml:space="preserve">           </t>
    </r>
  </si>
  <si>
    <t>mm</t>
  </si>
  <si>
    <t>Inches</t>
  </si>
  <si>
    <r>
      <t>L</t>
    </r>
    <r>
      <rPr>
        <vertAlign val="subscript"/>
        <sz val="10"/>
        <rFont val="Arial"/>
        <family val="2"/>
      </rPr>
      <t>r</t>
    </r>
    <r>
      <rPr>
        <vertAlign val="superscript"/>
        <sz val="10"/>
        <rFont val="Arial"/>
        <family val="2"/>
      </rPr>
      <t>d</t>
    </r>
  </si>
  <si>
    <r>
      <t>Length of Regenerator '=(</t>
    </r>
    <r>
      <rPr>
        <sz val="10"/>
        <rFont val="Symbol"/>
        <family val="1"/>
      </rPr>
      <t>l</t>
    </r>
    <r>
      <rPr>
        <vertAlign val="subscript"/>
        <sz val="10"/>
        <rFont val="Arial"/>
        <family val="2"/>
      </rPr>
      <t>r</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 xml:space="preserve">)  </t>
    </r>
  </si>
  <si>
    <r>
      <t>d</t>
    </r>
    <r>
      <rPr>
        <vertAlign val="subscript"/>
        <sz val="10"/>
        <rFont val="Arial"/>
        <family val="2"/>
      </rPr>
      <t>w</t>
    </r>
  </si>
  <si>
    <r>
      <t>Diameter of Regenerator Wire = 4*(</t>
    </r>
    <r>
      <rPr>
        <i/>
        <sz val="10"/>
        <rFont val="Arial"/>
        <family val="2"/>
      </rPr>
      <t>r</t>
    </r>
    <r>
      <rPr>
        <vertAlign val="subscript"/>
        <sz val="10"/>
        <rFont val="Arial"/>
        <family val="2"/>
      </rPr>
      <t>hr</t>
    </r>
    <r>
      <rPr>
        <vertAlign val="superscript"/>
        <sz val="10"/>
        <rFont val="Arial"/>
        <family val="2"/>
      </rPr>
      <t>d</t>
    </r>
    <r>
      <rPr>
        <sz val="10"/>
        <rFont val="Arial"/>
        <family val="2"/>
      </rPr>
      <t xml:space="preserve">)* (1- ¶v)/(¶v)  </t>
    </r>
  </si>
  <si>
    <r>
      <t>m</t>
    </r>
    <r>
      <rPr>
        <vertAlign val="subscript"/>
        <sz val="10"/>
        <rFont val="Arial"/>
        <family val="2"/>
      </rPr>
      <t>w</t>
    </r>
  </si>
  <si>
    <r>
      <t>Mesh Number of Regenerator Wire Mesh =4*(1- ¶v)/(3.14159*</t>
    </r>
    <r>
      <rPr>
        <i/>
        <sz val="10"/>
        <rFont val="Arial"/>
        <family val="2"/>
      </rPr>
      <t>d</t>
    </r>
    <r>
      <rPr>
        <vertAlign val="subscript"/>
        <sz val="10"/>
        <rFont val="Arial"/>
        <family val="2"/>
      </rPr>
      <t>w</t>
    </r>
    <r>
      <rPr>
        <sz val="10"/>
        <rFont val="Arial"/>
        <family val="2"/>
      </rPr>
      <t>)</t>
    </r>
  </si>
  <si>
    <t>wires/mm</t>
  </si>
  <si>
    <r>
      <t>n</t>
    </r>
    <r>
      <rPr>
        <i/>
        <vertAlign val="subscript"/>
        <sz val="10"/>
        <rFont val="Arial"/>
        <family val="2"/>
      </rPr>
      <t>r</t>
    </r>
  </si>
  <si>
    <t>Number of Gauzes in the Regenerator 'Stack'</t>
  </si>
  <si>
    <t>gauzes</t>
  </si>
  <si>
    <r>
      <t>N</t>
    </r>
    <r>
      <rPr>
        <vertAlign val="subscript"/>
        <sz val="10"/>
        <rFont val="Arial"/>
        <family val="2"/>
      </rPr>
      <t>tcr</t>
    </r>
  </si>
  <si>
    <r>
      <t>Thermal Capacity Ratio of the Regenerator  N</t>
    </r>
    <r>
      <rPr>
        <vertAlign val="subscript"/>
        <sz val="10"/>
        <rFont val="Arial"/>
        <family val="2"/>
      </rPr>
      <t>TCR</t>
    </r>
    <r>
      <rPr>
        <sz val="10"/>
        <rFont val="Arial"/>
        <family val="2"/>
      </rPr>
      <t>=(</t>
    </r>
    <r>
      <rPr>
        <sz val="10"/>
        <rFont val="Times New Roman"/>
        <family val="1"/>
      </rPr>
      <t>T</t>
    </r>
    <r>
      <rPr>
        <vertAlign val="subscript"/>
        <sz val="10"/>
        <rFont val="Times New Roman"/>
        <family val="1"/>
      </rPr>
      <t>ref</t>
    </r>
    <r>
      <rPr>
        <sz val="10"/>
        <rFont val="Times New Roman"/>
        <family val="1"/>
      </rPr>
      <t>)(</t>
    </r>
    <r>
      <rPr>
        <sz val="10"/>
        <rFont val="Symbol"/>
        <family val="1"/>
      </rPr>
      <t>r</t>
    </r>
    <r>
      <rPr>
        <vertAlign val="subscript"/>
        <sz val="10"/>
        <rFont val="Times New Roman"/>
        <family val="1"/>
      </rPr>
      <t>w</t>
    </r>
    <r>
      <rPr>
        <sz val="10"/>
        <rFont val="Times New Roman"/>
        <family val="1"/>
      </rPr>
      <t>)(c</t>
    </r>
    <r>
      <rPr>
        <vertAlign val="subscript"/>
        <sz val="10"/>
        <rFont val="Times New Roman"/>
        <family val="1"/>
      </rPr>
      <t>w</t>
    </r>
    <r>
      <rPr>
        <sz val="10"/>
        <rFont val="Times New Roman"/>
        <family val="1"/>
      </rPr>
      <t>)/</t>
    </r>
    <r>
      <rPr>
        <i/>
        <sz val="10"/>
        <rFont val="Times New Roman"/>
        <family val="1"/>
      </rPr>
      <t>P</t>
    </r>
    <r>
      <rPr>
        <vertAlign val="subscript"/>
        <sz val="10"/>
        <rFont val="Times New Roman"/>
        <family val="1"/>
      </rPr>
      <t>ref</t>
    </r>
  </si>
  <si>
    <t>ratio</t>
  </si>
  <si>
    <r>
      <t>N</t>
    </r>
    <r>
      <rPr>
        <vertAlign val="subscript"/>
        <sz val="10"/>
        <rFont val="Arial"/>
        <family val="2"/>
      </rPr>
      <t>f</t>
    </r>
  </si>
  <si>
    <r>
      <t xml:space="preserve">Fourier Modulous of Regenerator  </t>
    </r>
    <r>
      <rPr>
        <i/>
        <sz val="10"/>
        <rFont val="Arial"/>
        <family val="2"/>
      </rPr>
      <t>N</t>
    </r>
    <r>
      <rPr>
        <i/>
        <vertAlign val="subscript"/>
        <sz val="10"/>
        <rFont val="Arial"/>
        <family val="2"/>
      </rPr>
      <t>f=</t>
    </r>
    <r>
      <rPr>
        <sz val="10"/>
        <rFont val="Symbol"/>
        <family val="1"/>
      </rPr>
      <t>a/</t>
    </r>
    <r>
      <rPr>
        <i/>
        <sz val="10"/>
        <rFont val="Arial"/>
        <family val="2"/>
      </rPr>
      <t>(n</t>
    </r>
    <r>
      <rPr>
        <i/>
        <vertAlign val="subscript"/>
        <sz val="10"/>
        <rFont val="Arial"/>
        <family val="2"/>
      </rPr>
      <t>s</t>
    </r>
    <r>
      <rPr>
        <i/>
        <sz val="10"/>
        <rFont val="Arial"/>
        <family val="2"/>
      </rPr>
      <t>)(d</t>
    </r>
    <r>
      <rPr>
        <i/>
        <vertAlign val="subscript"/>
        <sz val="10"/>
        <rFont val="Arial"/>
        <family val="2"/>
      </rPr>
      <t>w</t>
    </r>
    <r>
      <rPr>
        <i/>
        <sz val="10"/>
        <rFont val="Arial"/>
        <family val="2"/>
      </rPr>
      <t>)</t>
    </r>
    <r>
      <rPr>
        <i/>
        <vertAlign val="superscript"/>
        <sz val="10"/>
        <rFont val="Arial"/>
        <family val="2"/>
      </rPr>
      <t>2</t>
    </r>
  </si>
  <si>
    <r>
      <t>Tn</t>
    </r>
    <r>
      <rPr>
        <vertAlign val="subscript"/>
        <sz val="10"/>
        <rFont val="Arial"/>
        <family val="2"/>
      </rPr>
      <t>xe</t>
    </r>
    <r>
      <rPr>
        <vertAlign val="superscript"/>
        <sz val="10"/>
        <rFont val="Arial"/>
        <family val="2"/>
      </rPr>
      <t>d</t>
    </r>
  </si>
  <si>
    <r>
      <t>Number of Tubes in the Expansion Exchanger  =</t>
    </r>
    <r>
      <rPr>
        <i/>
        <sz val="10"/>
        <rFont val="Arial"/>
        <family val="2"/>
      </rPr>
      <t>A</t>
    </r>
    <r>
      <rPr>
        <vertAlign val="subscript"/>
        <sz val="10"/>
        <rFont val="Arial"/>
        <family val="2"/>
      </rPr>
      <t>ffxe</t>
    </r>
    <r>
      <rPr>
        <vertAlign val="superscript"/>
        <sz val="10"/>
        <rFont val="Arial"/>
        <family val="2"/>
      </rPr>
      <t>d</t>
    </r>
    <r>
      <rPr>
        <sz val="10"/>
        <rFont val="Arial"/>
        <family val="2"/>
      </rPr>
      <t>/((0.25*3.14159)*(</t>
    </r>
    <r>
      <rPr>
        <i/>
        <sz val="10"/>
        <rFont val="Arial"/>
        <family val="2"/>
      </rPr>
      <t>d</t>
    </r>
    <r>
      <rPr>
        <vertAlign val="subscript"/>
        <sz val="10"/>
        <rFont val="Arial"/>
        <family val="2"/>
      </rPr>
      <t>xe</t>
    </r>
    <r>
      <rPr>
        <vertAlign val="superscript"/>
        <sz val="10"/>
        <rFont val="Arial"/>
        <family val="2"/>
      </rPr>
      <t>d</t>
    </r>
    <r>
      <rPr>
        <sz val="10"/>
        <rFont val="Arial"/>
        <family val="2"/>
      </rPr>
      <t>)</t>
    </r>
    <r>
      <rPr>
        <vertAlign val="superscript"/>
        <sz val="10"/>
        <rFont val="Arial"/>
        <family val="2"/>
      </rPr>
      <t>2</t>
    </r>
    <r>
      <rPr>
        <sz val="10"/>
        <rFont val="Arial"/>
        <family val="2"/>
      </rPr>
      <t>)</t>
    </r>
  </si>
  <si>
    <t>tubes</t>
  </si>
  <si>
    <r>
      <t>L</t>
    </r>
    <r>
      <rPr>
        <vertAlign val="subscript"/>
        <sz val="10"/>
        <rFont val="Arial"/>
        <family val="2"/>
      </rPr>
      <t>xe</t>
    </r>
    <r>
      <rPr>
        <vertAlign val="superscript"/>
        <sz val="10"/>
        <rFont val="Arial"/>
        <family val="2"/>
      </rPr>
      <t>d</t>
    </r>
  </si>
  <si>
    <r>
      <t>Length of Expansion Exchanger Tubes '=(</t>
    </r>
    <r>
      <rPr>
        <sz val="10"/>
        <rFont val="Symbol"/>
        <family val="1"/>
      </rPr>
      <t>l</t>
    </r>
    <r>
      <rPr>
        <vertAlign val="subscript"/>
        <sz val="10"/>
        <rFont val="Arial"/>
        <family val="2"/>
      </rPr>
      <t>xe</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t>
    </r>
  </si>
  <si>
    <r>
      <t>d</t>
    </r>
    <r>
      <rPr>
        <vertAlign val="subscript"/>
        <sz val="10"/>
        <rFont val="Arial"/>
        <family val="2"/>
      </rPr>
      <t>xe</t>
    </r>
  </si>
  <si>
    <r>
      <t xml:space="preserve">Diameter of Expansion Exchanger Tubes = 4 * </t>
    </r>
    <r>
      <rPr>
        <i/>
        <sz val="10"/>
        <rFont val="Arial"/>
        <family val="2"/>
      </rPr>
      <t>r</t>
    </r>
    <r>
      <rPr>
        <vertAlign val="subscript"/>
        <sz val="10"/>
        <rFont val="Arial"/>
        <family val="2"/>
      </rPr>
      <t>hxe</t>
    </r>
    <r>
      <rPr>
        <vertAlign val="superscript"/>
        <sz val="10"/>
        <rFont val="Arial"/>
        <family val="2"/>
      </rPr>
      <t xml:space="preserve">d                               </t>
    </r>
  </si>
  <si>
    <r>
      <t>Tn</t>
    </r>
    <r>
      <rPr>
        <vertAlign val="subscript"/>
        <sz val="10"/>
        <rFont val="Arial"/>
        <family val="2"/>
      </rPr>
      <t>xc</t>
    </r>
    <r>
      <rPr>
        <vertAlign val="superscript"/>
        <sz val="10"/>
        <rFont val="Arial"/>
        <family val="2"/>
      </rPr>
      <t>d</t>
    </r>
  </si>
  <si>
    <r>
      <t>Number of Tubes in the Compression Exchanger  =</t>
    </r>
    <r>
      <rPr>
        <i/>
        <sz val="10"/>
        <rFont val="Arial"/>
        <family val="2"/>
      </rPr>
      <t>A</t>
    </r>
    <r>
      <rPr>
        <vertAlign val="subscript"/>
        <sz val="10"/>
        <rFont val="Arial"/>
        <family val="2"/>
      </rPr>
      <t>ffxc</t>
    </r>
    <r>
      <rPr>
        <vertAlign val="superscript"/>
        <sz val="10"/>
        <rFont val="Arial"/>
        <family val="2"/>
      </rPr>
      <t>d</t>
    </r>
    <r>
      <rPr>
        <sz val="10"/>
        <rFont val="Arial"/>
        <family val="2"/>
      </rPr>
      <t>/((0.25*3.14159)*(</t>
    </r>
    <r>
      <rPr>
        <i/>
        <sz val="10"/>
        <rFont val="Arial"/>
        <family val="2"/>
      </rPr>
      <t>d</t>
    </r>
    <r>
      <rPr>
        <vertAlign val="subscript"/>
        <sz val="10"/>
        <rFont val="Arial"/>
        <family val="2"/>
      </rPr>
      <t>xe</t>
    </r>
    <r>
      <rPr>
        <vertAlign val="superscript"/>
        <sz val="10"/>
        <rFont val="Arial"/>
        <family val="2"/>
      </rPr>
      <t>d</t>
    </r>
    <r>
      <rPr>
        <sz val="10"/>
        <rFont val="Arial"/>
        <family val="2"/>
      </rPr>
      <t>)</t>
    </r>
    <r>
      <rPr>
        <vertAlign val="superscript"/>
        <sz val="10"/>
        <rFont val="Arial"/>
        <family val="2"/>
      </rPr>
      <t>2</t>
    </r>
    <r>
      <rPr>
        <sz val="10"/>
        <rFont val="Arial"/>
        <family val="2"/>
      </rPr>
      <t>)</t>
    </r>
  </si>
  <si>
    <r>
      <t>L</t>
    </r>
    <r>
      <rPr>
        <vertAlign val="subscript"/>
        <sz val="10"/>
        <rFont val="Arial"/>
        <family val="2"/>
      </rPr>
      <t>xc</t>
    </r>
    <r>
      <rPr>
        <vertAlign val="superscript"/>
        <sz val="10"/>
        <rFont val="Arial"/>
        <family val="2"/>
      </rPr>
      <t>d</t>
    </r>
  </si>
  <si>
    <r>
      <t>Length of Compression Exchanger Tubes '=(</t>
    </r>
    <r>
      <rPr>
        <sz val="10"/>
        <rFont val="Symbol"/>
        <family val="1"/>
      </rPr>
      <t>l</t>
    </r>
    <r>
      <rPr>
        <vertAlign val="subscript"/>
        <sz val="10"/>
        <rFont val="Arial"/>
        <family val="2"/>
      </rPr>
      <t>xc</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t>
    </r>
  </si>
  <si>
    <r>
      <t>d</t>
    </r>
    <r>
      <rPr>
        <vertAlign val="subscript"/>
        <sz val="10"/>
        <rFont val="Arial"/>
        <family val="2"/>
      </rPr>
      <t>xc</t>
    </r>
  </si>
  <si>
    <r>
      <t xml:space="preserve">Diameter of Compression Exchanger Tubes = 4 * </t>
    </r>
    <r>
      <rPr>
        <i/>
        <sz val="10"/>
        <rFont val="Arial"/>
        <family val="2"/>
      </rPr>
      <t>r</t>
    </r>
    <r>
      <rPr>
        <vertAlign val="subscript"/>
        <sz val="10"/>
        <rFont val="Arial"/>
        <family val="2"/>
      </rPr>
      <t>hxc</t>
    </r>
    <r>
      <rPr>
        <vertAlign val="superscript"/>
        <sz val="10"/>
        <rFont val="Arial"/>
        <family val="2"/>
      </rPr>
      <t xml:space="preserve">d                           </t>
    </r>
    <r>
      <rPr>
        <sz val="10"/>
        <rFont val="Arial"/>
        <family val="2"/>
      </rPr>
      <t>[mm]</t>
    </r>
  </si>
  <si>
    <t xml:space="preserve"> </t>
  </si>
  <si>
    <t>Parameter</t>
  </si>
  <si>
    <t>Formula</t>
  </si>
  <si>
    <t>Prototype</t>
  </si>
  <si>
    <r>
      <t>N</t>
    </r>
    <r>
      <rPr>
        <vertAlign val="subscript"/>
        <sz val="10"/>
        <rFont val="Arial"/>
        <family val="2"/>
      </rPr>
      <t>b</t>
    </r>
  </si>
  <si>
    <r>
      <t>Beal Number= P / (V</t>
    </r>
    <r>
      <rPr>
        <vertAlign val="subscript"/>
        <sz val="10"/>
        <rFont val="Arial"/>
        <family val="2"/>
      </rPr>
      <t>sw</t>
    </r>
    <r>
      <rPr>
        <sz val="10"/>
        <rFont val="Arial"/>
        <family val="2"/>
      </rPr>
      <t>)(rpm/60)(p</t>
    </r>
    <r>
      <rPr>
        <vertAlign val="subscript"/>
        <sz val="10"/>
        <rFont val="Arial"/>
        <family val="2"/>
      </rPr>
      <t>ref</t>
    </r>
    <r>
      <rPr>
        <sz val="10"/>
        <rFont val="Arial"/>
        <family val="2"/>
      </rPr>
      <t>)</t>
    </r>
  </si>
  <si>
    <r>
      <t>N</t>
    </r>
    <r>
      <rPr>
        <vertAlign val="subscript"/>
        <sz val="10"/>
        <rFont val="Arial"/>
        <family val="2"/>
      </rPr>
      <t>T</t>
    </r>
  </si>
  <si>
    <r>
      <t>Temperature Ratio = T</t>
    </r>
    <r>
      <rPr>
        <vertAlign val="subscript"/>
        <sz val="10"/>
        <rFont val="Arial"/>
        <family val="2"/>
      </rPr>
      <t xml:space="preserve">e </t>
    </r>
    <r>
      <rPr>
        <sz val="10"/>
        <rFont val="Arial"/>
        <family val="2"/>
      </rPr>
      <t>/ T</t>
    </r>
    <r>
      <rPr>
        <vertAlign val="subscript"/>
        <sz val="10"/>
        <rFont val="Arial"/>
        <family val="2"/>
      </rPr>
      <t>c</t>
    </r>
  </si>
  <si>
    <t>k</t>
  </si>
  <si>
    <r>
      <t>Volume Ratio = V</t>
    </r>
    <r>
      <rPr>
        <vertAlign val="subscript"/>
        <sz val="10"/>
        <rFont val="Arial"/>
        <family val="2"/>
      </rPr>
      <t>e</t>
    </r>
    <r>
      <rPr>
        <sz val="10"/>
        <rFont val="Arial"/>
        <family val="2"/>
      </rPr>
      <t>/V</t>
    </r>
    <r>
      <rPr>
        <vertAlign val="subscript"/>
        <sz val="10"/>
        <rFont val="Arial"/>
        <family val="2"/>
      </rPr>
      <t>c</t>
    </r>
  </si>
  <si>
    <t>a</t>
  </si>
  <si>
    <t>Phase Difference between Ve and Vc</t>
  </si>
  <si>
    <r>
      <t>p</t>
    </r>
    <r>
      <rPr>
        <vertAlign val="subscript"/>
        <sz val="10"/>
        <rFont val="Arial"/>
        <family val="2"/>
      </rPr>
      <t>ref</t>
    </r>
  </si>
  <si>
    <r>
      <t>V</t>
    </r>
    <r>
      <rPr>
        <vertAlign val="subscript"/>
        <sz val="10"/>
        <rFont val="Arial"/>
        <family val="2"/>
      </rPr>
      <t>sw</t>
    </r>
  </si>
  <si>
    <r>
      <t>Swept Volume   in CC (cm</t>
    </r>
    <r>
      <rPr>
        <vertAlign val="superscript"/>
        <sz val="10"/>
        <rFont val="Arial"/>
        <family val="2"/>
      </rPr>
      <t>3</t>
    </r>
    <r>
      <rPr>
        <sz val="10"/>
        <rFont val="Arial"/>
        <family val="2"/>
      </rPr>
      <t>)</t>
    </r>
  </si>
  <si>
    <r>
      <t>N</t>
    </r>
    <r>
      <rPr>
        <vertAlign val="subscript"/>
        <sz val="10"/>
        <rFont val="Arial"/>
        <family val="2"/>
      </rPr>
      <t>F</t>
    </r>
  </si>
  <si>
    <t>Fourier Modulus</t>
  </si>
  <si>
    <r>
      <t>N</t>
    </r>
    <r>
      <rPr>
        <vertAlign val="subscript"/>
        <sz val="10"/>
        <rFont val="Arial"/>
        <family val="2"/>
      </rPr>
      <t>ma</t>
    </r>
  </si>
  <si>
    <r>
      <t>Mach Number = (L</t>
    </r>
    <r>
      <rPr>
        <vertAlign val="subscript"/>
        <sz val="10"/>
        <rFont val="Arial"/>
        <family val="2"/>
      </rPr>
      <t>ref</t>
    </r>
    <r>
      <rPr>
        <sz val="10"/>
        <rFont val="Arial"/>
        <family val="2"/>
      </rPr>
      <t>)(</t>
    </r>
    <r>
      <rPr>
        <sz val="10"/>
        <rFont val="Symbol"/>
        <family val="1"/>
      </rPr>
      <t>w)/(</t>
    </r>
    <r>
      <rPr>
        <sz val="10"/>
        <rFont val="Arial"/>
        <family val="2"/>
      </rPr>
      <t>R</t>
    </r>
    <r>
      <rPr>
        <vertAlign val="subscript"/>
        <sz val="10"/>
        <rFont val="Arial"/>
        <family val="2"/>
      </rPr>
      <t>gas</t>
    </r>
    <r>
      <rPr>
        <sz val="10"/>
        <rFont val="Arial"/>
        <family val="2"/>
      </rPr>
      <t>)(T</t>
    </r>
    <r>
      <rPr>
        <vertAlign val="subscript"/>
        <sz val="10"/>
        <rFont val="Arial"/>
        <family val="2"/>
      </rPr>
      <t>ref</t>
    </r>
    <r>
      <rPr>
        <sz val="10"/>
        <rFont val="Arial"/>
        <family val="2"/>
      </rPr>
      <t>)</t>
    </r>
  </si>
  <si>
    <r>
      <t>N</t>
    </r>
    <r>
      <rPr>
        <vertAlign val="subscript"/>
        <sz val="10"/>
        <rFont val="Arial"/>
        <family val="2"/>
      </rPr>
      <t>SG</t>
    </r>
  </si>
  <si>
    <r>
      <t>Stirling Number = (p</t>
    </r>
    <r>
      <rPr>
        <vertAlign val="subscript"/>
        <sz val="10"/>
        <rFont val="Arial"/>
        <family val="2"/>
      </rPr>
      <t>ref</t>
    </r>
    <r>
      <rPr>
        <sz val="10"/>
        <rFont val="Arial"/>
        <family val="2"/>
      </rPr>
      <t>)/(</t>
    </r>
    <r>
      <rPr>
        <sz val="10"/>
        <rFont val="Symbol"/>
        <family val="1"/>
      </rPr>
      <t>w)(m</t>
    </r>
    <r>
      <rPr>
        <vertAlign val="subscript"/>
        <sz val="10"/>
        <rFont val="Arial"/>
        <family val="2"/>
      </rPr>
      <t>ref</t>
    </r>
    <r>
      <rPr>
        <sz val="10"/>
        <rFont val="Arial"/>
        <family val="2"/>
      </rPr>
      <t>)</t>
    </r>
  </si>
  <si>
    <t>Working Fluid</t>
  </si>
  <si>
    <t>Gas Constant =(J/kg °K)</t>
  </si>
  <si>
    <t>Specific Heat Ratio (Cp/Cv)</t>
  </si>
  <si>
    <r>
      <t>m</t>
    </r>
    <r>
      <rPr>
        <vertAlign val="subscript"/>
        <sz val="10"/>
        <rFont val="Arial"/>
        <family val="2"/>
      </rPr>
      <t>ref (viscosity)</t>
    </r>
  </si>
  <si>
    <r>
      <t>L</t>
    </r>
    <r>
      <rPr>
        <vertAlign val="subscript"/>
        <sz val="10"/>
        <rFont val="Arial"/>
        <family val="2"/>
      </rPr>
      <t xml:space="preserve">ref, </t>
    </r>
    <r>
      <rPr>
        <sz val="10"/>
        <rFont val="Arial"/>
        <family val="2"/>
      </rPr>
      <t>S</t>
    </r>
    <r>
      <rPr>
        <vertAlign val="subscript"/>
        <sz val="10"/>
        <rFont val="Arial"/>
        <family val="2"/>
      </rPr>
      <t>th</t>
    </r>
  </si>
  <si>
    <r>
      <t>V</t>
    </r>
    <r>
      <rPr>
        <vertAlign val="subscript"/>
        <sz val="10"/>
        <rFont val="Arial"/>
        <family val="2"/>
      </rPr>
      <t>sw</t>
    </r>
    <r>
      <rPr>
        <vertAlign val="superscript"/>
        <sz val="10"/>
        <rFont val="Arial"/>
        <family val="2"/>
      </rPr>
      <t xml:space="preserve">1/3 </t>
    </r>
    <r>
      <rPr>
        <sz val="10"/>
        <rFont val="Arial"/>
        <family val="2"/>
      </rPr>
      <t>[mm]</t>
    </r>
  </si>
  <si>
    <r>
      <t>l</t>
    </r>
    <r>
      <rPr>
        <vertAlign val="subscript"/>
        <sz val="10"/>
        <rFont val="Arial"/>
        <family val="2"/>
      </rPr>
      <t>xe</t>
    </r>
  </si>
  <si>
    <r>
      <t>L</t>
    </r>
    <r>
      <rPr>
        <vertAlign val="subscript"/>
        <sz val="10"/>
        <rFont val="Arial"/>
        <family val="2"/>
      </rPr>
      <t>xe</t>
    </r>
    <r>
      <rPr>
        <sz val="10"/>
        <rFont val="Arial"/>
        <family val="2"/>
      </rPr>
      <t>/L</t>
    </r>
    <r>
      <rPr>
        <vertAlign val="subscript"/>
        <sz val="10"/>
        <rFont val="Arial"/>
        <family val="2"/>
      </rPr>
      <t>ref</t>
    </r>
  </si>
  <si>
    <r>
      <t>l</t>
    </r>
    <r>
      <rPr>
        <vertAlign val="subscript"/>
        <sz val="10"/>
        <rFont val="Arial"/>
        <family val="2"/>
      </rPr>
      <t>r</t>
    </r>
  </si>
  <si>
    <r>
      <t>L</t>
    </r>
    <r>
      <rPr>
        <vertAlign val="subscript"/>
        <sz val="10"/>
        <rFont val="Arial"/>
        <family val="2"/>
      </rPr>
      <t xml:space="preserve">r </t>
    </r>
    <r>
      <rPr>
        <sz val="10"/>
        <rFont val="Arial"/>
        <family val="2"/>
      </rPr>
      <t>/L</t>
    </r>
    <r>
      <rPr>
        <vertAlign val="subscript"/>
        <sz val="10"/>
        <rFont val="Arial"/>
        <family val="2"/>
      </rPr>
      <t>ref</t>
    </r>
  </si>
  <si>
    <r>
      <t>l</t>
    </r>
    <r>
      <rPr>
        <vertAlign val="subscript"/>
        <sz val="10"/>
        <rFont val="Arial"/>
        <family val="2"/>
      </rPr>
      <t>xc</t>
    </r>
  </si>
  <si>
    <r>
      <t>a</t>
    </r>
    <r>
      <rPr>
        <vertAlign val="subscript"/>
        <sz val="10"/>
        <rFont val="Arial"/>
        <family val="2"/>
      </rPr>
      <t>ffxe</t>
    </r>
  </si>
  <si>
    <r>
      <t>a</t>
    </r>
    <r>
      <rPr>
        <vertAlign val="subscript"/>
        <sz val="10"/>
        <rFont val="Arial"/>
        <family val="2"/>
      </rPr>
      <t>ffr</t>
    </r>
  </si>
  <si>
    <r>
      <t>a</t>
    </r>
    <r>
      <rPr>
        <vertAlign val="subscript"/>
        <sz val="10"/>
        <rFont val="Arial"/>
        <family val="2"/>
      </rPr>
      <t>ffxc</t>
    </r>
  </si>
  <si>
    <r>
      <t>V</t>
    </r>
    <r>
      <rPr>
        <vertAlign val="subscript"/>
        <sz val="10"/>
        <rFont val="Arial"/>
        <family val="2"/>
      </rPr>
      <t>ref</t>
    </r>
  </si>
  <si>
    <r>
      <t>V</t>
    </r>
    <r>
      <rPr>
        <vertAlign val="subscript"/>
        <sz val="10"/>
        <rFont val="Arial"/>
        <family val="2"/>
      </rPr>
      <t>dxe</t>
    </r>
    <r>
      <rPr>
        <sz val="10"/>
        <rFont val="Arial"/>
        <family val="2"/>
      </rPr>
      <t>/V</t>
    </r>
    <r>
      <rPr>
        <vertAlign val="subscript"/>
        <sz val="10"/>
        <rFont val="Arial"/>
        <family val="2"/>
      </rPr>
      <t>ref</t>
    </r>
  </si>
  <si>
    <r>
      <t>d</t>
    </r>
    <r>
      <rPr>
        <vertAlign val="subscript"/>
        <sz val="10"/>
        <rFont val="Arial"/>
        <family val="2"/>
      </rPr>
      <t>r</t>
    </r>
  </si>
  <si>
    <r>
      <t>V</t>
    </r>
    <r>
      <rPr>
        <vertAlign val="subscript"/>
        <sz val="10"/>
        <rFont val="Arial"/>
        <family val="2"/>
      </rPr>
      <t>dr</t>
    </r>
    <r>
      <rPr>
        <sz val="10"/>
        <rFont val="Arial"/>
        <family val="2"/>
      </rPr>
      <t>/V</t>
    </r>
    <r>
      <rPr>
        <vertAlign val="subscript"/>
        <sz val="10"/>
        <rFont val="Arial"/>
        <family val="2"/>
      </rPr>
      <t>ref</t>
    </r>
  </si>
  <si>
    <r>
      <t>V</t>
    </r>
    <r>
      <rPr>
        <vertAlign val="subscript"/>
        <sz val="10"/>
        <rFont val="Arial"/>
        <family val="2"/>
      </rPr>
      <t>dxc</t>
    </r>
    <r>
      <rPr>
        <sz val="10"/>
        <rFont val="Arial"/>
        <family val="2"/>
      </rPr>
      <t>/V</t>
    </r>
    <r>
      <rPr>
        <vertAlign val="subscript"/>
        <sz val="10"/>
        <rFont val="Arial"/>
        <family val="2"/>
      </rPr>
      <t>ref</t>
    </r>
  </si>
  <si>
    <r>
      <t>l</t>
    </r>
    <r>
      <rPr>
        <vertAlign val="subscript"/>
        <sz val="10"/>
        <rFont val="Arial"/>
        <family val="2"/>
      </rPr>
      <t>hxe</t>
    </r>
  </si>
  <si>
    <r>
      <t>r</t>
    </r>
    <r>
      <rPr>
        <vertAlign val="subscript"/>
        <sz val="10"/>
        <rFont val="Arial"/>
        <family val="2"/>
      </rPr>
      <t>hxe</t>
    </r>
    <r>
      <rPr>
        <sz val="10"/>
        <rFont val="Arial"/>
        <family val="2"/>
      </rPr>
      <t>/L</t>
    </r>
    <r>
      <rPr>
        <vertAlign val="subscript"/>
        <sz val="10"/>
        <rFont val="Arial"/>
        <family val="2"/>
      </rPr>
      <t>ref</t>
    </r>
  </si>
  <si>
    <r>
      <t>l</t>
    </r>
    <r>
      <rPr>
        <vertAlign val="subscript"/>
        <sz val="10"/>
        <rFont val="Arial"/>
        <family val="2"/>
      </rPr>
      <t>hr</t>
    </r>
  </si>
  <si>
    <r>
      <t>r</t>
    </r>
    <r>
      <rPr>
        <vertAlign val="subscript"/>
        <sz val="10"/>
        <rFont val="Arial"/>
        <family val="2"/>
      </rPr>
      <t>hr</t>
    </r>
    <r>
      <rPr>
        <sz val="10"/>
        <rFont val="Arial"/>
        <family val="2"/>
      </rPr>
      <t>/L</t>
    </r>
    <r>
      <rPr>
        <vertAlign val="subscript"/>
        <sz val="10"/>
        <rFont val="Arial"/>
        <family val="2"/>
      </rPr>
      <t>ref</t>
    </r>
  </si>
  <si>
    <r>
      <t>r</t>
    </r>
    <r>
      <rPr>
        <vertAlign val="subscript"/>
        <sz val="10"/>
        <rFont val="Arial"/>
        <family val="2"/>
      </rPr>
      <t>hxc</t>
    </r>
    <r>
      <rPr>
        <sz val="10"/>
        <rFont val="Arial"/>
        <family val="2"/>
      </rPr>
      <t>/L</t>
    </r>
    <r>
      <rPr>
        <vertAlign val="subscript"/>
        <sz val="10"/>
        <rFont val="Arial"/>
        <family val="2"/>
      </rPr>
      <t>ref</t>
    </r>
  </si>
  <si>
    <r>
      <t>¶</t>
    </r>
    <r>
      <rPr>
        <vertAlign val="subscript"/>
        <sz val="10"/>
        <rFont val="Arial"/>
        <family val="2"/>
      </rPr>
      <t>v</t>
    </r>
  </si>
  <si>
    <t>Volumetric porosity</t>
  </si>
  <si>
    <t>Wire Diameter mm</t>
  </si>
  <si>
    <t>Mesh Density wires/mm</t>
  </si>
  <si>
    <r>
      <t>Reference Length or Thermodynamic Stroke =(V</t>
    </r>
    <r>
      <rPr>
        <vertAlign val="subscript"/>
        <sz val="10"/>
        <rFont val="Arial"/>
        <family val="2"/>
      </rPr>
      <t>sw)</t>
    </r>
    <r>
      <rPr>
        <vertAlign val="superscript"/>
        <sz val="10"/>
        <rFont val="Arial"/>
        <family val="2"/>
      </rPr>
      <t>1/3</t>
    </r>
    <r>
      <rPr>
        <sz val="10"/>
        <rFont val="Arial"/>
        <family val="2"/>
      </rPr>
      <t xml:space="preserve">                 (mm)</t>
    </r>
  </si>
  <si>
    <t>Nb</t>
  </si>
  <si>
    <t>Beale Number</t>
  </si>
  <si>
    <r>
      <t>Gas Constant =(J/kg °K),  H</t>
    </r>
    <r>
      <rPr>
        <vertAlign val="subscript"/>
        <sz val="10"/>
        <rFont val="Arial"/>
        <family val="2"/>
      </rPr>
      <t>2</t>
    </r>
    <r>
      <rPr>
        <sz val="10"/>
        <rFont val="Arial"/>
        <family val="2"/>
      </rPr>
      <t>= 4120, Nitrogen (Air)=287, He=2080</t>
    </r>
  </si>
  <si>
    <t>Specific Heat Ratio (Cp/Cv), H2=1.41, He=1.67, Air=1.4</t>
  </si>
  <si>
    <r>
      <t>m</t>
    </r>
    <r>
      <rPr>
        <vertAlign val="subscript"/>
        <sz val="10"/>
        <rFont val="Arial"/>
        <family val="2"/>
      </rPr>
      <t xml:space="preserve">ref </t>
    </r>
  </si>
  <si>
    <t>Gas Viscosity (Pas), H2=8.4E-06, He=9.5E-06, Air=1.70E-05+B40</t>
  </si>
  <si>
    <t>Tref</t>
  </si>
  <si>
    <r>
      <t xml:space="preserve">Reference temperature </t>
    </r>
    <r>
      <rPr>
        <sz val="10"/>
        <rFont val="Times New Roman"/>
        <family val="1"/>
      </rPr>
      <t>=T</t>
    </r>
    <r>
      <rPr>
        <vertAlign val="subscript"/>
        <sz val="10"/>
        <rFont val="Times New Roman"/>
        <family val="1"/>
      </rPr>
      <t xml:space="preserve">c </t>
    </r>
    <r>
      <rPr>
        <sz val="10"/>
        <rFont val="Times New Roman"/>
        <family val="1"/>
      </rPr>
      <t>in Degrees Kelvin</t>
    </r>
  </si>
  <si>
    <t>w</t>
  </si>
  <si>
    <t>Angular Velocity =(rpm)*(2*Pi/60) (rad/sec)</t>
  </si>
  <si>
    <r>
      <t>Beal Number = P / (V</t>
    </r>
    <r>
      <rPr>
        <vertAlign val="subscript"/>
        <sz val="10"/>
        <rFont val="Arial"/>
        <family val="2"/>
      </rPr>
      <t>sw</t>
    </r>
    <r>
      <rPr>
        <sz val="10"/>
        <rFont val="Arial"/>
        <family val="2"/>
      </rPr>
      <t>)(rpm/60)(p</t>
    </r>
    <r>
      <rPr>
        <vertAlign val="subscript"/>
        <sz val="10"/>
        <rFont val="Arial"/>
        <family val="2"/>
      </rPr>
      <t>ref</t>
    </r>
    <r>
      <rPr>
        <sz val="10"/>
        <rFont val="Arial"/>
        <family val="2"/>
      </rPr>
      <t>)</t>
    </r>
  </si>
  <si>
    <r>
      <t>a</t>
    </r>
    <r>
      <rPr>
        <vertAlign val="subscript"/>
        <sz val="10"/>
        <rFont val="Arial"/>
        <family val="2"/>
      </rPr>
      <t>ffxe</t>
    </r>
    <r>
      <rPr>
        <vertAlign val="superscript"/>
        <sz val="10"/>
        <rFont val="Arial"/>
        <family val="2"/>
      </rPr>
      <t>d</t>
    </r>
  </si>
  <si>
    <r>
      <t>Free Flow Area of Expansion Exchanger = (</t>
    </r>
    <r>
      <rPr>
        <sz val="10"/>
        <rFont val="Symbol"/>
        <family val="1"/>
      </rPr>
      <t>a</t>
    </r>
    <r>
      <rPr>
        <vertAlign val="subscript"/>
        <sz val="10"/>
        <rFont val="Arial"/>
        <family val="2"/>
      </rPr>
      <t>ffxe</t>
    </r>
    <r>
      <rPr>
        <vertAlign val="superscript"/>
        <sz val="10"/>
        <rFont val="Arial"/>
        <family val="2"/>
      </rPr>
      <t>p</t>
    </r>
    <r>
      <rPr>
        <sz val="10"/>
        <rFont val="Arial"/>
        <family val="2"/>
      </rPr>
      <t>)</t>
    </r>
    <r>
      <rPr>
        <sz val="10"/>
        <rFont val="Arial"/>
        <family val="0"/>
      </rPr>
      <t>*(N</t>
    </r>
    <r>
      <rPr>
        <vertAlign val="subscript"/>
        <sz val="10"/>
        <rFont val="Arial"/>
        <family val="2"/>
      </rPr>
      <t>ma</t>
    </r>
    <r>
      <rPr>
        <vertAlign val="superscript"/>
        <sz val="10"/>
        <rFont val="Arial"/>
        <family val="2"/>
      </rPr>
      <t>d</t>
    </r>
    <r>
      <rPr>
        <sz val="10"/>
        <rFont val="Arial"/>
        <family val="2"/>
      </rPr>
      <t>)</t>
    </r>
    <r>
      <rPr>
        <sz val="10"/>
        <rFont val="Arial"/>
        <family val="0"/>
      </rPr>
      <t>/(N</t>
    </r>
    <r>
      <rPr>
        <vertAlign val="subscript"/>
        <sz val="10"/>
        <rFont val="Arial"/>
        <family val="2"/>
      </rPr>
      <t>ma</t>
    </r>
    <r>
      <rPr>
        <vertAlign val="superscript"/>
        <sz val="10"/>
        <rFont val="Arial"/>
        <family val="2"/>
      </rPr>
      <t>p</t>
    </r>
    <r>
      <rPr>
        <sz val="10"/>
        <rFont val="Arial"/>
        <family val="2"/>
      </rPr>
      <t>)</t>
    </r>
  </si>
  <si>
    <r>
      <t>a</t>
    </r>
    <r>
      <rPr>
        <vertAlign val="subscript"/>
        <sz val="10"/>
        <rFont val="Arial"/>
        <family val="2"/>
      </rPr>
      <t>ffr</t>
    </r>
    <r>
      <rPr>
        <vertAlign val="superscript"/>
        <sz val="10"/>
        <rFont val="Arial"/>
        <family val="2"/>
      </rPr>
      <t>d</t>
    </r>
  </si>
  <si>
    <r>
      <t>Free Flow Area of Regenerator = (</t>
    </r>
    <r>
      <rPr>
        <sz val="10"/>
        <rFont val="Symbol"/>
        <family val="1"/>
      </rPr>
      <t>a</t>
    </r>
    <r>
      <rPr>
        <vertAlign val="subscript"/>
        <sz val="10"/>
        <rFont val="Arial"/>
        <family val="2"/>
      </rPr>
      <t>ffr</t>
    </r>
    <r>
      <rPr>
        <vertAlign val="superscript"/>
        <sz val="10"/>
        <rFont val="Arial"/>
        <family val="2"/>
      </rPr>
      <t>p</t>
    </r>
    <r>
      <rPr>
        <sz val="10"/>
        <rFont val="Arial"/>
        <family val="2"/>
      </rPr>
      <t>)</t>
    </r>
    <r>
      <rPr>
        <sz val="10"/>
        <rFont val="Arial"/>
        <family val="0"/>
      </rPr>
      <t>*(N</t>
    </r>
    <r>
      <rPr>
        <vertAlign val="subscript"/>
        <sz val="10"/>
        <rFont val="Arial"/>
        <family val="2"/>
      </rPr>
      <t>ma</t>
    </r>
    <r>
      <rPr>
        <vertAlign val="superscript"/>
        <sz val="10"/>
        <rFont val="Arial"/>
        <family val="2"/>
      </rPr>
      <t>d</t>
    </r>
    <r>
      <rPr>
        <sz val="10"/>
        <rFont val="Arial"/>
        <family val="2"/>
      </rPr>
      <t>)</t>
    </r>
    <r>
      <rPr>
        <sz val="10"/>
        <rFont val="Arial"/>
        <family val="0"/>
      </rPr>
      <t>/(N</t>
    </r>
    <r>
      <rPr>
        <vertAlign val="subscript"/>
        <sz val="10"/>
        <rFont val="Arial"/>
        <family val="2"/>
      </rPr>
      <t>ma</t>
    </r>
    <r>
      <rPr>
        <vertAlign val="superscript"/>
        <sz val="10"/>
        <rFont val="Arial"/>
        <family val="2"/>
      </rPr>
      <t>p</t>
    </r>
    <r>
      <rPr>
        <sz val="10"/>
        <rFont val="Arial"/>
        <family val="2"/>
      </rPr>
      <t>)</t>
    </r>
  </si>
  <si>
    <r>
      <t>a</t>
    </r>
    <r>
      <rPr>
        <vertAlign val="subscript"/>
        <sz val="10"/>
        <rFont val="Arial"/>
        <family val="2"/>
      </rPr>
      <t>ffxc</t>
    </r>
    <r>
      <rPr>
        <vertAlign val="superscript"/>
        <sz val="10"/>
        <rFont val="Arial"/>
        <family val="2"/>
      </rPr>
      <t>d</t>
    </r>
  </si>
  <si>
    <r>
      <t>Free Flow Area of Compression Exchanger = (</t>
    </r>
    <r>
      <rPr>
        <sz val="10"/>
        <rFont val="Symbol"/>
        <family val="1"/>
      </rPr>
      <t>a</t>
    </r>
    <r>
      <rPr>
        <vertAlign val="subscript"/>
        <sz val="10"/>
        <rFont val="Arial"/>
        <family val="2"/>
      </rPr>
      <t>ffxc</t>
    </r>
    <r>
      <rPr>
        <vertAlign val="superscript"/>
        <sz val="10"/>
        <rFont val="Arial"/>
        <family val="2"/>
      </rPr>
      <t>p</t>
    </r>
    <r>
      <rPr>
        <sz val="10"/>
        <rFont val="Arial"/>
        <family val="2"/>
      </rPr>
      <t>)</t>
    </r>
    <r>
      <rPr>
        <sz val="10"/>
        <rFont val="Arial"/>
        <family val="0"/>
      </rPr>
      <t>*(N</t>
    </r>
    <r>
      <rPr>
        <vertAlign val="subscript"/>
        <sz val="10"/>
        <rFont val="Arial"/>
        <family val="2"/>
      </rPr>
      <t>ma</t>
    </r>
    <r>
      <rPr>
        <vertAlign val="superscript"/>
        <sz val="10"/>
        <rFont val="Arial"/>
        <family val="2"/>
      </rPr>
      <t>d</t>
    </r>
    <r>
      <rPr>
        <sz val="10"/>
        <rFont val="Arial"/>
        <family val="2"/>
      </rPr>
      <t>)</t>
    </r>
    <r>
      <rPr>
        <sz val="10"/>
        <rFont val="Arial"/>
        <family val="0"/>
      </rPr>
      <t>/(N</t>
    </r>
    <r>
      <rPr>
        <vertAlign val="subscript"/>
        <sz val="10"/>
        <rFont val="Arial"/>
        <family val="2"/>
      </rPr>
      <t>ma</t>
    </r>
    <r>
      <rPr>
        <vertAlign val="superscript"/>
        <sz val="10"/>
        <rFont val="Arial"/>
        <family val="2"/>
      </rPr>
      <t>p</t>
    </r>
    <r>
      <rPr>
        <sz val="10"/>
        <rFont val="Arial"/>
        <family val="2"/>
      </rPr>
      <t>)</t>
    </r>
  </si>
  <si>
    <r>
      <t>l</t>
    </r>
    <r>
      <rPr>
        <vertAlign val="subscript"/>
        <sz val="10"/>
        <rFont val="Arial"/>
        <family val="2"/>
      </rPr>
      <t>xe</t>
    </r>
    <r>
      <rPr>
        <vertAlign val="superscript"/>
        <sz val="10"/>
        <rFont val="Arial"/>
        <family val="2"/>
      </rPr>
      <t>d</t>
    </r>
  </si>
  <si>
    <r>
      <t>Normalized Expansion Length from Normalized Free Flow Areas</t>
    </r>
    <r>
      <rPr>
        <sz val="10"/>
        <rFont val="Symbol"/>
        <family val="1"/>
      </rPr>
      <t xml:space="preserve">  =d</t>
    </r>
    <r>
      <rPr>
        <vertAlign val="subscript"/>
        <sz val="10"/>
        <rFont val="Arial"/>
        <family val="2"/>
      </rPr>
      <t>xe</t>
    </r>
    <r>
      <rPr>
        <vertAlign val="superscript"/>
        <sz val="10"/>
        <rFont val="Arial"/>
        <family val="2"/>
      </rPr>
      <t>p</t>
    </r>
    <r>
      <rPr>
        <vertAlign val="subscript"/>
        <sz val="10"/>
        <rFont val="Arial"/>
        <family val="2"/>
      </rPr>
      <t>/</t>
    </r>
    <r>
      <rPr>
        <sz val="10"/>
        <rFont val="Symbol"/>
        <family val="1"/>
      </rPr>
      <t>a</t>
    </r>
    <r>
      <rPr>
        <vertAlign val="subscript"/>
        <sz val="10"/>
        <rFont val="Arial"/>
        <family val="2"/>
      </rPr>
      <t>ffxe</t>
    </r>
    <r>
      <rPr>
        <vertAlign val="superscript"/>
        <sz val="10"/>
        <rFont val="Arial"/>
        <family val="2"/>
      </rPr>
      <t>d</t>
    </r>
  </si>
  <si>
    <r>
      <t>l</t>
    </r>
    <r>
      <rPr>
        <vertAlign val="subscript"/>
        <sz val="10"/>
        <rFont val="Arial"/>
        <family val="2"/>
      </rPr>
      <t>r</t>
    </r>
    <r>
      <rPr>
        <vertAlign val="superscript"/>
        <sz val="10"/>
        <rFont val="Arial"/>
        <family val="2"/>
      </rPr>
      <t>d</t>
    </r>
  </si>
  <si>
    <r>
      <t>Normalized Regenerator Length from Normalized Free Flow Areas</t>
    </r>
    <r>
      <rPr>
        <sz val="10"/>
        <rFont val="Symbol"/>
        <family val="1"/>
      </rPr>
      <t xml:space="preserve">  =d</t>
    </r>
    <r>
      <rPr>
        <sz val="10"/>
        <rFont val="Arial"/>
        <family val="2"/>
      </rPr>
      <t>r</t>
    </r>
    <r>
      <rPr>
        <vertAlign val="superscript"/>
        <sz val="10"/>
        <rFont val="Arial"/>
        <family val="2"/>
      </rPr>
      <t>p</t>
    </r>
    <r>
      <rPr>
        <vertAlign val="subscript"/>
        <sz val="10"/>
        <rFont val="Arial"/>
        <family val="2"/>
      </rPr>
      <t>/</t>
    </r>
    <r>
      <rPr>
        <sz val="10"/>
        <rFont val="Symbol"/>
        <family val="1"/>
      </rPr>
      <t>a</t>
    </r>
    <r>
      <rPr>
        <vertAlign val="subscript"/>
        <sz val="10"/>
        <rFont val="Arial"/>
        <family val="2"/>
      </rPr>
      <t>ffr</t>
    </r>
    <r>
      <rPr>
        <vertAlign val="superscript"/>
        <sz val="10"/>
        <rFont val="Arial"/>
        <family val="2"/>
      </rPr>
      <t>d</t>
    </r>
  </si>
  <si>
    <r>
      <t>l</t>
    </r>
    <r>
      <rPr>
        <vertAlign val="subscript"/>
        <sz val="10"/>
        <rFont val="Arial"/>
        <family val="2"/>
      </rPr>
      <t>xc</t>
    </r>
    <r>
      <rPr>
        <vertAlign val="superscript"/>
        <sz val="10"/>
        <rFont val="Arial"/>
        <family val="2"/>
      </rPr>
      <t>d</t>
    </r>
  </si>
  <si>
    <r>
      <t>Normalized Compression Length from Normalized Free Flow Areas</t>
    </r>
    <r>
      <rPr>
        <sz val="10"/>
        <rFont val="Symbol"/>
        <family val="1"/>
      </rPr>
      <t xml:space="preserve">  =d</t>
    </r>
    <r>
      <rPr>
        <vertAlign val="subscript"/>
        <sz val="10"/>
        <rFont val="Arial"/>
        <family val="2"/>
      </rPr>
      <t>xc</t>
    </r>
    <r>
      <rPr>
        <vertAlign val="superscript"/>
        <sz val="10"/>
        <rFont val="Arial"/>
        <family val="2"/>
      </rPr>
      <t>p</t>
    </r>
    <r>
      <rPr>
        <vertAlign val="subscript"/>
        <sz val="10"/>
        <rFont val="Arial"/>
        <family val="2"/>
      </rPr>
      <t>/</t>
    </r>
    <r>
      <rPr>
        <sz val="10"/>
        <rFont val="Symbol"/>
        <family val="1"/>
      </rPr>
      <t>a</t>
    </r>
    <r>
      <rPr>
        <vertAlign val="subscript"/>
        <sz val="10"/>
        <rFont val="Arial"/>
        <family val="2"/>
      </rPr>
      <t>ffxc</t>
    </r>
    <r>
      <rPr>
        <vertAlign val="superscript"/>
        <sz val="10"/>
        <rFont val="Arial"/>
        <family val="2"/>
      </rPr>
      <t>d</t>
    </r>
  </si>
  <si>
    <r>
      <t>l</t>
    </r>
    <r>
      <rPr>
        <vertAlign val="subscript"/>
        <sz val="10"/>
        <rFont val="Arial"/>
        <family val="2"/>
      </rPr>
      <t>hxe</t>
    </r>
    <r>
      <rPr>
        <vertAlign val="superscript"/>
        <sz val="10"/>
        <rFont val="Arial"/>
        <family val="2"/>
      </rPr>
      <t>d</t>
    </r>
  </si>
  <si>
    <r>
      <t>Normalized Hydraulic Radius =</t>
    </r>
    <r>
      <rPr>
        <sz val="10"/>
        <rFont val="Symbol"/>
        <family val="1"/>
      </rPr>
      <t>l</t>
    </r>
    <r>
      <rPr>
        <vertAlign val="subscript"/>
        <sz val="10"/>
        <rFont val="Arial"/>
        <family val="2"/>
      </rPr>
      <t>hxe</t>
    </r>
    <r>
      <rPr>
        <vertAlign val="superscript"/>
        <sz val="10"/>
        <rFont val="Arial"/>
        <family val="2"/>
      </rPr>
      <t>p</t>
    </r>
    <r>
      <rPr>
        <sz val="10"/>
        <rFont val="Symbol"/>
        <family val="1"/>
      </rPr>
      <t>*(l</t>
    </r>
    <r>
      <rPr>
        <vertAlign val="subscript"/>
        <sz val="10"/>
        <rFont val="Arial"/>
        <family val="2"/>
      </rPr>
      <t>xe</t>
    </r>
    <r>
      <rPr>
        <vertAlign val="superscript"/>
        <sz val="10"/>
        <rFont val="Arial"/>
        <family val="2"/>
      </rPr>
      <t>d</t>
    </r>
    <r>
      <rPr>
        <sz val="10"/>
        <rFont val="Arial"/>
        <family val="2"/>
      </rPr>
      <t xml:space="preserve"> / </t>
    </r>
    <r>
      <rPr>
        <sz val="10"/>
        <rFont val="Symbol"/>
        <family val="1"/>
      </rPr>
      <t>l</t>
    </r>
    <r>
      <rPr>
        <vertAlign val="subscript"/>
        <sz val="10"/>
        <rFont val="Arial"/>
        <family val="2"/>
      </rPr>
      <t>xe</t>
    </r>
    <r>
      <rPr>
        <vertAlign val="superscript"/>
        <sz val="10"/>
        <rFont val="Arial"/>
        <family val="2"/>
      </rPr>
      <t>p</t>
    </r>
    <r>
      <rPr>
        <sz val="10"/>
        <rFont val="Arial"/>
        <family val="2"/>
      </rPr>
      <t>) * (N</t>
    </r>
    <r>
      <rPr>
        <vertAlign val="subscript"/>
        <sz val="10"/>
        <rFont val="Arial"/>
        <family val="2"/>
      </rPr>
      <t>SG</t>
    </r>
    <r>
      <rPr>
        <vertAlign val="superscript"/>
        <sz val="10"/>
        <rFont val="Arial"/>
        <family val="2"/>
      </rPr>
      <t>p</t>
    </r>
    <r>
      <rPr>
        <sz val="10"/>
        <rFont val="Arial"/>
        <family val="2"/>
      </rPr>
      <t>/N</t>
    </r>
    <r>
      <rPr>
        <vertAlign val="subscript"/>
        <sz val="10"/>
        <rFont val="Arial"/>
        <family val="2"/>
      </rPr>
      <t>SG</t>
    </r>
    <r>
      <rPr>
        <vertAlign val="superscript"/>
        <sz val="10"/>
        <rFont val="Arial"/>
        <family val="2"/>
      </rPr>
      <t>d</t>
    </r>
    <r>
      <rPr>
        <sz val="10"/>
        <rFont val="Arial"/>
        <family val="2"/>
      </rPr>
      <t>)</t>
    </r>
    <r>
      <rPr>
        <vertAlign val="superscript"/>
        <sz val="10"/>
        <rFont val="Arial"/>
        <family val="2"/>
      </rPr>
      <t>0.2/1.2</t>
    </r>
  </si>
  <si>
    <r>
      <t>l</t>
    </r>
    <r>
      <rPr>
        <vertAlign val="subscript"/>
        <sz val="10"/>
        <rFont val="Arial"/>
        <family val="2"/>
      </rPr>
      <t>hr</t>
    </r>
    <r>
      <rPr>
        <vertAlign val="superscript"/>
        <sz val="10"/>
        <rFont val="Arial"/>
        <family val="2"/>
      </rPr>
      <t>d</t>
    </r>
  </si>
  <si>
    <r>
      <t>Normalized Hydraulic Radius =</t>
    </r>
    <r>
      <rPr>
        <sz val="10"/>
        <rFont val="Symbol"/>
        <family val="1"/>
      </rPr>
      <t>l</t>
    </r>
    <r>
      <rPr>
        <vertAlign val="subscript"/>
        <sz val="10"/>
        <rFont val="Arial"/>
        <family val="2"/>
      </rPr>
      <t>hxe</t>
    </r>
    <r>
      <rPr>
        <vertAlign val="superscript"/>
        <sz val="10"/>
        <rFont val="Arial"/>
        <family val="2"/>
      </rPr>
      <t>p</t>
    </r>
    <r>
      <rPr>
        <sz val="10"/>
        <rFont val="Symbol"/>
        <family val="1"/>
      </rPr>
      <t>*(l</t>
    </r>
    <r>
      <rPr>
        <vertAlign val="subscript"/>
        <sz val="10"/>
        <rFont val="Arial"/>
        <family val="2"/>
      </rPr>
      <t>xe</t>
    </r>
    <r>
      <rPr>
        <vertAlign val="superscript"/>
        <sz val="10"/>
        <rFont val="Arial"/>
        <family val="2"/>
      </rPr>
      <t>d</t>
    </r>
    <r>
      <rPr>
        <sz val="10"/>
        <rFont val="Arial"/>
        <family val="2"/>
      </rPr>
      <t xml:space="preserve"> / </t>
    </r>
    <r>
      <rPr>
        <sz val="10"/>
        <rFont val="Symbol"/>
        <family val="1"/>
      </rPr>
      <t>l</t>
    </r>
    <r>
      <rPr>
        <vertAlign val="subscript"/>
        <sz val="10"/>
        <rFont val="Arial"/>
        <family val="2"/>
      </rPr>
      <t>xe</t>
    </r>
    <r>
      <rPr>
        <vertAlign val="superscript"/>
        <sz val="10"/>
        <rFont val="Arial"/>
        <family val="2"/>
      </rPr>
      <t>p</t>
    </r>
    <r>
      <rPr>
        <sz val="10"/>
        <rFont val="Arial"/>
        <family val="2"/>
      </rPr>
      <t>) * (N</t>
    </r>
    <r>
      <rPr>
        <vertAlign val="subscript"/>
        <sz val="10"/>
        <rFont val="Arial"/>
        <family val="2"/>
      </rPr>
      <t>SG</t>
    </r>
    <r>
      <rPr>
        <vertAlign val="superscript"/>
        <sz val="10"/>
        <rFont val="Arial"/>
        <family val="2"/>
      </rPr>
      <t>p</t>
    </r>
    <r>
      <rPr>
        <sz val="10"/>
        <rFont val="Arial"/>
        <family val="2"/>
      </rPr>
      <t>/N</t>
    </r>
    <r>
      <rPr>
        <vertAlign val="subscript"/>
        <sz val="10"/>
        <rFont val="Arial"/>
        <family val="2"/>
      </rPr>
      <t>SG</t>
    </r>
    <r>
      <rPr>
        <vertAlign val="superscript"/>
        <sz val="10"/>
        <rFont val="Arial"/>
        <family val="2"/>
      </rPr>
      <t>d</t>
    </r>
    <r>
      <rPr>
        <sz val="10"/>
        <rFont val="Arial"/>
        <family val="2"/>
      </rPr>
      <t>)</t>
    </r>
    <r>
      <rPr>
        <vertAlign val="superscript"/>
        <sz val="10"/>
        <rFont val="Arial"/>
        <family val="2"/>
      </rPr>
      <t>0.5/1.5</t>
    </r>
  </si>
  <si>
    <r>
      <t>l</t>
    </r>
    <r>
      <rPr>
        <vertAlign val="subscript"/>
        <sz val="10"/>
        <rFont val="Arial"/>
        <family val="2"/>
      </rPr>
      <t>hxc</t>
    </r>
    <r>
      <rPr>
        <vertAlign val="superscript"/>
        <sz val="10"/>
        <rFont val="Arial"/>
        <family val="2"/>
      </rPr>
      <t>d</t>
    </r>
  </si>
  <si>
    <r>
      <t>Length of Expansion Exchanger Tubes '=(</t>
    </r>
    <r>
      <rPr>
        <sz val="10"/>
        <rFont val="Symbol"/>
        <family val="1"/>
      </rPr>
      <t>l</t>
    </r>
    <r>
      <rPr>
        <vertAlign val="subscript"/>
        <sz val="10"/>
        <rFont val="Arial"/>
        <family val="2"/>
      </rPr>
      <t>xe</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                        [mm]</t>
    </r>
  </si>
  <si>
    <r>
      <t>Length of Regenerator '=(</t>
    </r>
    <r>
      <rPr>
        <sz val="10"/>
        <rFont val="Symbol"/>
        <family val="1"/>
      </rPr>
      <t>l</t>
    </r>
    <r>
      <rPr>
        <vertAlign val="subscript"/>
        <sz val="10"/>
        <rFont val="Arial"/>
        <family val="2"/>
      </rPr>
      <t>r</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                                                  [mm]</t>
    </r>
  </si>
  <si>
    <r>
      <t>Length of Compression Exchanger Tubes '=(</t>
    </r>
    <r>
      <rPr>
        <sz val="10"/>
        <rFont val="Symbol"/>
        <family val="1"/>
      </rPr>
      <t>l</t>
    </r>
    <r>
      <rPr>
        <vertAlign val="subscript"/>
        <sz val="10"/>
        <rFont val="Arial"/>
        <family val="2"/>
      </rPr>
      <t>xc</t>
    </r>
    <r>
      <rPr>
        <vertAlign val="superscript"/>
        <sz val="10"/>
        <rFont val="Arial"/>
        <family val="2"/>
      </rPr>
      <t xml:space="preserve">d </t>
    </r>
    <r>
      <rPr>
        <sz val="10"/>
        <rFont val="Arial"/>
        <family val="2"/>
      </rPr>
      <t>)* (S</t>
    </r>
    <r>
      <rPr>
        <vertAlign val="subscript"/>
        <sz val="10"/>
        <rFont val="Arial"/>
        <family val="2"/>
      </rPr>
      <t>th</t>
    </r>
    <r>
      <rPr>
        <vertAlign val="superscript"/>
        <sz val="10"/>
        <rFont val="Arial"/>
        <family val="2"/>
      </rPr>
      <t>d</t>
    </r>
    <r>
      <rPr>
        <sz val="10"/>
        <rFont val="Arial"/>
        <family val="2"/>
      </rPr>
      <t>)                    [mm]</t>
    </r>
  </si>
  <si>
    <r>
      <t>r</t>
    </r>
    <r>
      <rPr>
        <vertAlign val="subscript"/>
        <sz val="10"/>
        <rFont val="Arial"/>
        <family val="2"/>
      </rPr>
      <t>hxe</t>
    </r>
    <r>
      <rPr>
        <vertAlign val="superscript"/>
        <sz val="10"/>
        <rFont val="Arial"/>
        <family val="2"/>
      </rPr>
      <t>d</t>
    </r>
  </si>
  <si>
    <r>
      <t>Hydraulic Radius of Expansion Exchanger Tubes =(</t>
    </r>
    <r>
      <rPr>
        <sz val="10"/>
        <rFont val="Symbol"/>
        <family val="1"/>
      </rPr>
      <t>l</t>
    </r>
    <r>
      <rPr>
        <vertAlign val="subscript"/>
        <sz val="10"/>
        <rFont val="Arial"/>
        <family val="2"/>
      </rPr>
      <t>hxe</t>
    </r>
    <r>
      <rPr>
        <vertAlign val="superscript"/>
        <sz val="10"/>
        <rFont val="Arial"/>
        <family val="2"/>
      </rPr>
      <t>d</t>
    </r>
    <r>
      <rPr>
        <sz val="10"/>
        <rFont val="Arial"/>
        <family val="0"/>
      </rPr>
      <t xml:space="preserve"> )* (S</t>
    </r>
    <r>
      <rPr>
        <vertAlign val="subscript"/>
        <sz val="10"/>
        <rFont val="Arial"/>
        <family val="2"/>
      </rPr>
      <t>th</t>
    </r>
    <r>
      <rPr>
        <vertAlign val="superscript"/>
        <sz val="10"/>
        <rFont val="Arial"/>
        <family val="2"/>
      </rPr>
      <t>d</t>
    </r>
    <r>
      <rPr>
        <sz val="10"/>
        <rFont val="Arial"/>
        <family val="0"/>
      </rPr>
      <t>)        [mm]</t>
    </r>
  </si>
  <si>
    <r>
      <t>r</t>
    </r>
    <r>
      <rPr>
        <vertAlign val="subscript"/>
        <sz val="10"/>
        <rFont val="Arial"/>
        <family val="2"/>
      </rPr>
      <t>hr</t>
    </r>
    <r>
      <rPr>
        <vertAlign val="superscript"/>
        <sz val="10"/>
        <rFont val="Arial"/>
        <family val="2"/>
      </rPr>
      <t>d</t>
    </r>
  </si>
  <si>
    <r>
      <t>Hydraulic Radius of Regenerator Passages =(</t>
    </r>
    <r>
      <rPr>
        <sz val="10"/>
        <rFont val="Symbol"/>
        <family val="1"/>
      </rPr>
      <t>l</t>
    </r>
    <r>
      <rPr>
        <vertAlign val="subscript"/>
        <sz val="10"/>
        <rFont val="Arial"/>
        <family val="2"/>
      </rPr>
      <t>hr</t>
    </r>
    <r>
      <rPr>
        <vertAlign val="superscript"/>
        <sz val="10"/>
        <rFont val="Arial"/>
        <family val="2"/>
      </rPr>
      <t>d</t>
    </r>
    <r>
      <rPr>
        <sz val="10"/>
        <rFont val="Arial"/>
        <family val="0"/>
      </rPr>
      <t xml:space="preserve"> )* (S</t>
    </r>
    <r>
      <rPr>
        <vertAlign val="subscript"/>
        <sz val="10"/>
        <rFont val="Arial"/>
        <family val="2"/>
      </rPr>
      <t>th</t>
    </r>
    <r>
      <rPr>
        <vertAlign val="superscript"/>
        <sz val="10"/>
        <rFont val="Arial"/>
        <family val="2"/>
      </rPr>
      <t>d</t>
    </r>
    <r>
      <rPr>
        <sz val="10"/>
        <rFont val="Arial"/>
        <family val="0"/>
      </rPr>
      <t>)                   [mm]</t>
    </r>
  </si>
  <si>
    <r>
      <t>r</t>
    </r>
    <r>
      <rPr>
        <vertAlign val="subscript"/>
        <sz val="10"/>
        <rFont val="Arial"/>
        <family val="2"/>
      </rPr>
      <t>hxc</t>
    </r>
    <r>
      <rPr>
        <vertAlign val="superscript"/>
        <sz val="10"/>
        <rFont val="Arial"/>
        <family val="2"/>
      </rPr>
      <t>d</t>
    </r>
  </si>
  <si>
    <r>
      <t>Hydraulic Radius of Compression Exchanger Tubes =(</t>
    </r>
    <r>
      <rPr>
        <sz val="10"/>
        <rFont val="Symbol"/>
        <family val="1"/>
      </rPr>
      <t>l</t>
    </r>
    <r>
      <rPr>
        <vertAlign val="subscript"/>
        <sz val="10"/>
        <rFont val="Arial"/>
        <family val="2"/>
      </rPr>
      <t>hxc</t>
    </r>
    <r>
      <rPr>
        <vertAlign val="superscript"/>
        <sz val="10"/>
        <rFont val="Arial"/>
        <family val="2"/>
      </rPr>
      <t>d</t>
    </r>
    <r>
      <rPr>
        <sz val="10"/>
        <rFont val="Arial"/>
        <family val="0"/>
      </rPr>
      <t xml:space="preserve"> )* (S</t>
    </r>
    <r>
      <rPr>
        <vertAlign val="subscript"/>
        <sz val="10"/>
        <rFont val="Arial"/>
        <family val="2"/>
      </rPr>
      <t>th</t>
    </r>
    <r>
      <rPr>
        <vertAlign val="superscript"/>
        <sz val="10"/>
        <rFont val="Arial"/>
        <family val="2"/>
      </rPr>
      <t>d</t>
    </r>
    <r>
      <rPr>
        <sz val="10"/>
        <rFont val="Arial"/>
        <family val="0"/>
      </rPr>
      <t>)     [mm]</t>
    </r>
  </si>
  <si>
    <r>
      <t xml:space="preserve">Diameter of Expansion Exchanger Tubes = 4 * </t>
    </r>
    <r>
      <rPr>
        <i/>
        <sz val="10"/>
        <rFont val="Arial"/>
        <family val="2"/>
      </rPr>
      <t>r</t>
    </r>
    <r>
      <rPr>
        <vertAlign val="subscript"/>
        <sz val="10"/>
        <rFont val="Arial"/>
        <family val="2"/>
      </rPr>
      <t>hxe</t>
    </r>
    <r>
      <rPr>
        <vertAlign val="superscript"/>
        <sz val="10"/>
        <rFont val="Arial"/>
        <family val="2"/>
      </rPr>
      <t xml:space="preserve">d                               </t>
    </r>
    <r>
      <rPr>
        <sz val="10"/>
        <rFont val="Arial"/>
        <family val="2"/>
      </rPr>
      <t>[mm]</t>
    </r>
  </si>
  <si>
    <t xml:space="preserve">See Regenerator Section </t>
  </si>
  <si>
    <r>
      <t>A</t>
    </r>
    <r>
      <rPr>
        <vertAlign val="subscript"/>
        <sz val="10"/>
        <rFont val="Arial"/>
        <family val="2"/>
      </rPr>
      <t>ffxe</t>
    </r>
    <r>
      <rPr>
        <vertAlign val="superscript"/>
        <sz val="10"/>
        <rFont val="Arial"/>
        <family val="2"/>
      </rPr>
      <t>d</t>
    </r>
  </si>
  <si>
    <r>
      <t>Free Flow Area of Expansion Exchanger = (</t>
    </r>
    <r>
      <rPr>
        <sz val="10"/>
        <rFont val="Symbol"/>
        <family val="1"/>
      </rPr>
      <t>a</t>
    </r>
    <r>
      <rPr>
        <vertAlign val="subscript"/>
        <sz val="10"/>
        <rFont val="Arial"/>
        <family val="2"/>
      </rPr>
      <t>ffxe</t>
    </r>
    <r>
      <rPr>
        <vertAlign val="superscript"/>
        <sz val="10"/>
        <rFont val="Arial"/>
        <family val="2"/>
      </rPr>
      <t>d</t>
    </r>
    <r>
      <rPr>
        <sz val="10"/>
        <rFont val="Arial"/>
        <family val="0"/>
      </rPr>
      <t>)*(S</t>
    </r>
    <r>
      <rPr>
        <vertAlign val="subscript"/>
        <sz val="10"/>
        <rFont val="Arial"/>
        <family val="2"/>
      </rPr>
      <t>th</t>
    </r>
    <r>
      <rPr>
        <vertAlign val="superscript"/>
        <sz val="10"/>
        <rFont val="Arial"/>
        <family val="2"/>
      </rPr>
      <t>d</t>
    </r>
    <r>
      <rPr>
        <sz val="10"/>
        <rFont val="Arial"/>
        <family val="0"/>
      </rPr>
      <t>)</t>
    </r>
    <r>
      <rPr>
        <vertAlign val="superscript"/>
        <sz val="10"/>
        <rFont val="Arial"/>
        <family val="2"/>
      </rPr>
      <t xml:space="preserve">2                      </t>
    </r>
    <r>
      <rPr>
        <sz val="10"/>
        <rFont val="Arial"/>
        <family val="2"/>
      </rPr>
      <t>[mm]</t>
    </r>
    <r>
      <rPr>
        <vertAlign val="superscript"/>
        <sz val="10"/>
        <rFont val="Arial"/>
        <family val="2"/>
      </rPr>
      <t>2</t>
    </r>
  </si>
  <si>
    <r>
      <t>A</t>
    </r>
    <r>
      <rPr>
        <vertAlign val="subscript"/>
        <sz val="10"/>
        <rFont val="Arial"/>
        <family val="2"/>
      </rPr>
      <t>ffr</t>
    </r>
    <r>
      <rPr>
        <vertAlign val="superscript"/>
        <sz val="10"/>
        <rFont val="Arial"/>
        <family val="2"/>
      </rPr>
      <t>d</t>
    </r>
  </si>
  <si>
    <r>
      <t>A</t>
    </r>
    <r>
      <rPr>
        <vertAlign val="subscript"/>
        <sz val="10"/>
        <rFont val="Arial"/>
        <family val="2"/>
      </rPr>
      <t>ffxc</t>
    </r>
    <r>
      <rPr>
        <vertAlign val="superscript"/>
        <sz val="10"/>
        <rFont val="Arial"/>
        <family val="2"/>
      </rPr>
      <t>d</t>
    </r>
  </si>
  <si>
    <r>
      <t>Free Flow Area of Compression Exchanger = (</t>
    </r>
    <r>
      <rPr>
        <sz val="10"/>
        <rFont val="Symbol"/>
        <family val="1"/>
      </rPr>
      <t>a</t>
    </r>
    <r>
      <rPr>
        <vertAlign val="subscript"/>
        <sz val="10"/>
        <rFont val="Arial"/>
        <family val="2"/>
      </rPr>
      <t>ffxc</t>
    </r>
    <r>
      <rPr>
        <vertAlign val="superscript"/>
        <sz val="10"/>
        <rFont val="Arial"/>
        <family val="2"/>
      </rPr>
      <t>d</t>
    </r>
    <r>
      <rPr>
        <sz val="10"/>
        <rFont val="Arial"/>
        <family val="0"/>
      </rPr>
      <t>)*(S</t>
    </r>
    <r>
      <rPr>
        <vertAlign val="subscript"/>
        <sz val="10"/>
        <rFont val="Arial"/>
        <family val="2"/>
      </rPr>
      <t>th</t>
    </r>
    <r>
      <rPr>
        <vertAlign val="superscript"/>
        <sz val="10"/>
        <rFont val="Arial"/>
        <family val="2"/>
      </rPr>
      <t>d</t>
    </r>
    <r>
      <rPr>
        <sz val="10"/>
        <rFont val="Arial"/>
        <family val="0"/>
      </rPr>
      <t>)</t>
    </r>
    <r>
      <rPr>
        <vertAlign val="superscript"/>
        <sz val="10"/>
        <rFont val="Arial"/>
        <family val="2"/>
      </rPr>
      <t xml:space="preserve">2                 </t>
    </r>
    <r>
      <rPr>
        <sz val="10"/>
        <rFont val="Arial"/>
        <family val="2"/>
      </rPr>
      <t>[mm]</t>
    </r>
    <r>
      <rPr>
        <vertAlign val="superscript"/>
        <sz val="10"/>
        <rFont val="Arial"/>
        <family val="2"/>
      </rPr>
      <t>2</t>
    </r>
  </si>
  <si>
    <r>
      <t>Diameter of Regenerator Wire = 4*(</t>
    </r>
    <r>
      <rPr>
        <i/>
        <sz val="10"/>
        <rFont val="Arial"/>
        <family val="2"/>
      </rPr>
      <t>r</t>
    </r>
    <r>
      <rPr>
        <vertAlign val="subscript"/>
        <sz val="10"/>
        <rFont val="Arial"/>
        <family val="2"/>
      </rPr>
      <t>hr</t>
    </r>
    <r>
      <rPr>
        <vertAlign val="superscript"/>
        <sz val="10"/>
        <rFont val="Arial"/>
        <family val="2"/>
      </rPr>
      <t>d</t>
    </r>
    <r>
      <rPr>
        <sz val="10"/>
        <rFont val="Arial"/>
        <family val="2"/>
      </rPr>
      <t>)* (1- ¶v)/(¶v)                         [mm]</t>
    </r>
  </si>
  <si>
    <r>
      <t>Mesh Number of Regenerator Wire Mesh =4*(1- ¶v)/(3.14159*</t>
    </r>
    <r>
      <rPr>
        <i/>
        <sz val="10"/>
        <rFont val="Arial"/>
        <family val="2"/>
      </rPr>
      <t>d</t>
    </r>
    <r>
      <rPr>
        <vertAlign val="subscript"/>
        <sz val="10"/>
        <rFont val="Arial"/>
        <family val="2"/>
      </rPr>
      <t>w</t>
    </r>
    <r>
      <rPr>
        <sz val="10"/>
        <rFont val="Arial"/>
        <family val="2"/>
      </rPr>
      <t xml:space="preserve">) </t>
    </r>
    <r>
      <rPr>
        <i/>
        <sz val="10"/>
        <rFont val="Arial"/>
        <family val="2"/>
      </rPr>
      <t xml:space="preserve"> </t>
    </r>
    <r>
      <rPr>
        <sz val="10"/>
        <rFont val="Arial"/>
        <family val="2"/>
      </rPr>
      <t xml:space="preserve">  [wires/mm]</t>
    </r>
  </si>
  <si>
    <t>Instructions for use:  Enter Data Values in the area under 'Enter Values'.                The values to be entered are three of the four values of Power, rpm, pref and Vsw of the machine you want to create.  This is called the Derivative Machine.  You must also enter the values of the gas which you are using as the working fluid.  The values for the three most popular are listed.  You may use other gases by determining the values for the specific gas you want to use and entering it</t>
  </si>
  <si>
    <r>
      <t>A</t>
    </r>
    <r>
      <rPr>
        <i/>
        <vertAlign val="subscript"/>
        <sz val="10"/>
        <rFont val="Arial"/>
        <family val="2"/>
      </rPr>
      <t>ffxe</t>
    </r>
    <r>
      <rPr>
        <i/>
        <sz val="10"/>
        <rFont val="Arial"/>
        <family val="2"/>
      </rPr>
      <t>/ (L</t>
    </r>
    <r>
      <rPr>
        <i/>
        <vertAlign val="subscript"/>
        <sz val="10"/>
        <rFont val="Arial"/>
        <family val="2"/>
      </rPr>
      <t>ref</t>
    </r>
    <r>
      <rPr>
        <i/>
        <sz val="10"/>
        <rFont val="Arial"/>
        <family val="2"/>
      </rPr>
      <t>)</t>
    </r>
    <r>
      <rPr>
        <i/>
        <vertAlign val="superscript"/>
        <sz val="10"/>
        <rFont val="Arial"/>
        <family val="2"/>
      </rPr>
      <t>2</t>
    </r>
  </si>
  <si>
    <r>
      <t>A</t>
    </r>
    <r>
      <rPr>
        <i/>
        <vertAlign val="subscript"/>
        <sz val="10"/>
        <rFont val="Arial"/>
        <family val="2"/>
      </rPr>
      <t>ffxc</t>
    </r>
    <r>
      <rPr>
        <i/>
        <sz val="10"/>
        <rFont val="Arial"/>
        <family val="2"/>
      </rPr>
      <t>/ (L</t>
    </r>
    <r>
      <rPr>
        <i/>
        <vertAlign val="subscript"/>
        <sz val="10"/>
        <rFont val="Arial"/>
        <family val="2"/>
      </rPr>
      <t>ref</t>
    </r>
    <r>
      <rPr>
        <i/>
        <sz val="10"/>
        <rFont val="Arial"/>
        <family val="2"/>
      </rPr>
      <t>)</t>
    </r>
    <r>
      <rPr>
        <i/>
        <vertAlign val="superscript"/>
        <sz val="10"/>
        <rFont val="Arial"/>
        <family val="2"/>
      </rPr>
      <t>2</t>
    </r>
  </si>
  <si>
    <r>
      <t>A</t>
    </r>
    <r>
      <rPr>
        <i/>
        <vertAlign val="subscript"/>
        <sz val="10"/>
        <rFont val="Arial"/>
        <family val="2"/>
      </rPr>
      <t>ffr</t>
    </r>
    <r>
      <rPr>
        <i/>
        <sz val="10"/>
        <rFont val="Arial"/>
        <family val="2"/>
      </rPr>
      <t>/ (Lref)</t>
    </r>
    <r>
      <rPr>
        <i/>
        <vertAlign val="superscript"/>
        <sz val="10"/>
        <rFont val="Arial"/>
        <family val="2"/>
      </rPr>
      <t>2</t>
    </r>
  </si>
  <si>
    <r>
      <t>Free Flow Area of Regenerator = (</t>
    </r>
    <r>
      <rPr>
        <sz val="10"/>
        <rFont val="Symbol"/>
        <family val="1"/>
      </rPr>
      <t>a</t>
    </r>
    <r>
      <rPr>
        <vertAlign val="subscript"/>
        <sz val="10"/>
        <rFont val="Arial"/>
        <family val="2"/>
      </rPr>
      <t>ffr</t>
    </r>
    <r>
      <rPr>
        <vertAlign val="superscript"/>
        <sz val="10"/>
        <rFont val="Arial"/>
        <family val="2"/>
      </rPr>
      <t>d</t>
    </r>
    <r>
      <rPr>
        <sz val="10"/>
        <rFont val="Arial"/>
        <family val="0"/>
      </rPr>
      <t>)*(S</t>
    </r>
    <r>
      <rPr>
        <vertAlign val="subscript"/>
        <sz val="10"/>
        <rFont val="Arial"/>
        <family val="2"/>
      </rPr>
      <t>th</t>
    </r>
    <r>
      <rPr>
        <vertAlign val="superscript"/>
        <sz val="10"/>
        <rFont val="Arial"/>
        <family val="2"/>
      </rPr>
      <t>d</t>
    </r>
    <r>
      <rPr>
        <sz val="10"/>
        <rFont val="Arial"/>
        <family val="0"/>
      </rPr>
      <t>)</t>
    </r>
    <r>
      <rPr>
        <vertAlign val="superscript"/>
        <sz val="10"/>
        <rFont val="Arial"/>
        <family val="2"/>
      </rPr>
      <t xml:space="preserve">2                        </t>
    </r>
    <r>
      <rPr>
        <sz val="10"/>
        <rFont val="Arial"/>
        <family val="2"/>
      </rPr>
      <t>[mm]</t>
    </r>
    <r>
      <rPr>
        <vertAlign val="superscript"/>
        <sz val="10"/>
        <rFont val="Arial"/>
        <family val="2"/>
      </rPr>
      <t>2</t>
    </r>
  </si>
  <si>
    <r>
      <t>mm</t>
    </r>
    <r>
      <rPr>
        <vertAlign val="superscript"/>
        <sz val="10"/>
        <rFont val="Arial"/>
        <family val="2"/>
      </rPr>
      <t>2</t>
    </r>
  </si>
  <si>
    <r>
      <t>Free Flow Area of Regenerator = (</t>
    </r>
    <r>
      <rPr>
        <sz val="10"/>
        <rFont val="Symbol"/>
        <family val="1"/>
      </rPr>
      <t>a</t>
    </r>
    <r>
      <rPr>
        <vertAlign val="subscript"/>
        <sz val="10"/>
        <rFont val="Arial"/>
        <family val="2"/>
      </rPr>
      <t>ffr</t>
    </r>
    <r>
      <rPr>
        <vertAlign val="superscript"/>
        <sz val="10"/>
        <rFont val="Arial"/>
        <family val="2"/>
      </rPr>
      <t>d</t>
    </r>
    <r>
      <rPr>
        <sz val="10"/>
        <rFont val="Arial"/>
        <family val="0"/>
      </rPr>
      <t>)*(S</t>
    </r>
    <r>
      <rPr>
        <vertAlign val="subscript"/>
        <sz val="10"/>
        <rFont val="Arial"/>
        <family val="2"/>
      </rPr>
      <t>th</t>
    </r>
    <r>
      <rPr>
        <vertAlign val="superscript"/>
        <sz val="10"/>
        <rFont val="Arial"/>
        <family val="2"/>
      </rPr>
      <t>d</t>
    </r>
    <r>
      <rPr>
        <sz val="10"/>
        <rFont val="Arial"/>
        <family val="0"/>
      </rPr>
      <t>)</t>
    </r>
    <r>
      <rPr>
        <vertAlign val="superscript"/>
        <sz val="10"/>
        <rFont val="Arial"/>
        <family val="2"/>
      </rPr>
      <t xml:space="preserve">2                 </t>
    </r>
  </si>
  <si>
    <r>
      <t>D</t>
    </r>
    <r>
      <rPr>
        <i/>
        <vertAlign val="subscript"/>
        <sz val="10"/>
        <rFont val="Arial"/>
        <family val="2"/>
      </rPr>
      <t>h</t>
    </r>
  </si>
  <si>
    <t>Diameter of the Regenerator Housing</t>
  </si>
  <si>
    <r>
      <t>D</t>
    </r>
    <r>
      <rPr>
        <vertAlign val="subscript"/>
        <sz val="10"/>
        <rFont val="Arial"/>
        <family val="2"/>
      </rPr>
      <t>h</t>
    </r>
  </si>
  <si>
    <t>Diameter of Regenerator Housing</t>
  </si>
  <si>
    <r>
      <t xml:space="preserve">Diameter of Compression Exchanger Tubes = 4 * </t>
    </r>
    <r>
      <rPr>
        <i/>
        <sz val="10"/>
        <rFont val="Arial"/>
        <family val="2"/>
      </rPr>
      <t>r</t>
    </r>
    <r>
      <rPr>
        <vertAlign val="subscript"/>
        <sz val="10"/>
        <rFont val="Arial"/>
        <family val="2"/>
      </rPr>
      <t>hxc</t>
    </r>
    <r>
      <rPr>
        <vertAlign val="superscript"/>
        <sz val="10"/>
        <rFont val="Arial"/>
        <family val="2"/>
      </rPr>
      <t xml:space="preserve">d </t>
    </r>
  </si>
  <si>
    <t>Values of Gas Parameters       Hydrogen=1, Helium=2, Nitrogen (Air)=3</t>
  </si>
  <si>
    <t>(J/kg-°K)</t>
  </si>
  <si>
    <t>(Cp/Cv)</t>
  </si>
  <si>
    <t>Pa-sec</t>
  </si>
  <si>
    <t>Values of Gas Parameters  1=H 2=He 3=N (air)</t>
  </si>
  <si>
    <t>Pascal-seconds (Pa-s)</t>
  </si>
  <si>
    <r>
      <t>Swept Volume Vref</t>
    </r>
    <r>
      <rPr>
        <vertAlign val="subscript"/>
        <sz val="10"/>
        <rFont val="Arial"/>
        <family val="2"/>
      </rPr>
      <t>w</t>
    </r>
  </si>
  <si>
    <r>
      <t>Dead Volume Ratio Compression V</t>
    </r>
    <r>
      <rPr>
        <vertAlign val="subscript"/>
        <sz val="10"/>
        <rFont val="Arial"/>
        <family val="2"/>
      </rPr>
      <t>dxc</t>
    </r>
    <r>
      <rPr>
        <sz val="10"/>
        <rFont val="Arial"/>
        <family val="2"/>
      </rPr>
      <t>/V</t>
    </r>
    <r>
      <rPr>
        <vertAlign val="subscript"/>
        <sz val="10"/>
        <rFont val="Arial"/>
        <family val="2"/>
      </rPr>
      <t>ref</t>
    </r>
  </si>
  <si>
    <r>
      <t>Dead Volume Ratio Regenerator V</t>
    </r>
    <r>
      <rPr>
        <vertAlign val="subscript"/>
        <sz val="10"/>
        <rFont val="Arial"/>
        <family val="2"/>
      </rPr>
      <t>dr</t>
    </r>
    <r>
      <rPr>
        <sz val="10"/>
        <rFont val="Arial"/>
        <family val="2"/>
      </rPr>
      <t>/V</t>
    </r>
    <r>
      <rPr>
        <vertAlign val="subscript"/>
        <sz val="10"/>
        <rFont val="Arial"/>
        <family val="2"/>
      </rPr>
      <t>ref</t>
    </r>
  </si>
  <si>
    <r>
      <t>Dead Volume Ratio Expansion V</t>
    </r>
    <r>
      <rPr>
        <vertAlign val="subscript"/>
        <sz val="10"/>
        <rFont val="Arial"/>
        <family val="2"/>
      </rPr>
      <t>dxe</t>
    </r>
    <r>
      <rPr>
        <sz val="10"/>
        <rFont val="Arial"/>
        <family val="2"/>
      </rPr>
      <t>/V</t>
    </r>
    <r>
      <rPr>
        <vertAlign val="subscript"/>
        <sz val="10"/>
        <rFont val="Arial"/>
        <family val="2"/>
      </rPr>
      <t>ref</t>
    </r>
  </si>
  <si>
    <t>Atm</t>
  </si>
  <si>
    <t>Psi</t>
  </si>
  <si>
    <t>Gas Constant =(J/kg °K)             4120,         2080,          287</t>
  </si>
  <si>
    <t>Specific Heat Ratio (Cp/Cv)          1.41           1.66           1.41</t>
  </si>
  <si>
    <t>Gas Viscosity (Pa-s)               8.4E-06        1.69E-05      1.70E-05</t>
  </si>
  <si>
    <t>Reference Pressure (Mpa)   1 ATM=0.101325 Mpa</t>
  </si>
  <si>
    <r>
      <t>N</t>
    </r>
    <r>
      <rPr>
        <vertAlign val="subscript"/>
        <sz val="10"/>
        <rFont val="Arial"/>
        <family val="2"/>
      </rPr>
      <t>ma</t>
    </r>
    <r>
      <rPr>
        <vertAlign val="superscript"/>
        <sz val="10"/>
        <rFont val="Arial"/>
        <family val="2"/>
      </rPr>
      <t>d</t>
    </r>
  </si>
  <si>
    <t>AIR</t>
  </si>
  <si>
    <t>Length of Regenerator</t>
  </si>
  <si>
    <t>Diameter of Regen. housing</t>
  </si>
  <si>
    <t xml:space="preserve">Free Flow area of regenerator </t>
  </si>
  <si>
    <t>Diameter of Guaze Wire</t>
  </si>
  <si>
    <t>Mesh Number of Guaze</t>
  </si>
  <si>
    <t>Number of Gauzes</t>
  </si>
  <si>
    <t>Piston Diameter and Stroke</t>
  </si>
  <si>
    <t>Fourier Modulus of Regen</t>
  </si>
  <si>
    <t>Length of Tubes</t>
  </si>
  <si>
    <t>Number of Heater Tubes</t>
  </si>
  <si>
    <t>Hydraulic Diameter</t>
  </si>
  <si>
    <t>Number of Cooler Tubes</t>
  </si>
  <si>
    <t>Length of Cooler Tubes</t>
  </si>
  <si>
    <t>Rev. per min.</t>
  </si>
  <si>
    <t>Reference Pressure</t>
  </si>
  <si>
    <t>Swept Volume</t>
  </si>
  <si>
    <t>cm3</t>
  </si>
  <si>
    <t>mm2</t>
  </si>
  <si>
    <t>pref</t>
  </si>
  <si>
    <t>Vsw</t>
  </si>
  <si>
    <t xml:space="preserve">mref </t>
  </si>
  <si>
    <t>Lref, Sth</t>
  </si>
  <si>
    <t>Lrd</t>
  </si>
  <si>
    <t>Dh</t>
  </si>
  <si>
    <t>Affrd</t>
  </si>
  <si>
    <t>dw</t>
  </si>
  <si>
    <t>mw</t>
  </si>
  <si>
    <t>nr</t>
  </si>
  <si>
    <t>Ntcr</t>
  </si>
  <si>
    <t>Nf</t>
  </si>
  <si>
    <t>Tnxed</t>
  </si>
  <si>
    <t>Lxed</t>
  </si>
  <si>
    <t>dxe</t>
  </si>
  <si>
    <t>Tnxcd</t>
  </si>
  <si>
    <t>Lxcd</t>
  </si>
  <si>
    <t>dxc</t>
  </si>
  <si>
    <t>Thermal Capacity Ratio</t>
  </si>
  <si>
    <t>A Comparison of Gas Circuit Complexity with Variation in Engine Parameters</t>
  </si>
  <si>
    <t>Based on the SCALIT Scaling Algorithym</t>
  </si>
  <si>
    <t>rh</t>
  </si>
  <si>
    <t>aff</t>
  </si>
  <si>
    <t># of chan.</t>
  </si>
  <si>
    <t>Width/Depth</t>
  </si>
  <si>
    <t>Lxe (mm)</t>
  </si>
  <si>
    <t>W (mm)</t>
  </si>
  <si>
    <t>Depth (mm)</t>
  </si>
  <si>
    <t>Heater Channel Geometry (Slots)</t>
  </si>
  <si>
    <t>Cooler Channel Geometry (Slots)</t>
  </si>
  <si>
    <t>The Beale Equation</t>
  </si>
  <si>
    <t>Hz</t>
  </si>
  <si>
    <t>Revolutions per Minute/60  (Hz)</t>
  </si>
  <si>
    <t>Swept Volume   in CC (cm3)</t>
  </si>
  <si>
    <t>Reference Pressure (Mega Pascals, MPa)</t>
  </si>
  <si>
    <t>Watts=Nb x Hz x pref x Vsw</t>
  </si>
  <si>
    <t>Result</t>
  </si>
  <si>
    <t>Input</t>
  </si>
  <si>
    <t>psi</t>
  </si>
  <si>
    <t>cc^3</t>
  </si>
  <si>
    <t>rads/sec</t>
  </si>
  <si>
    <t>Work area unprotected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</si>
</sst>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E+00"/>
    <numFmt numFmtId="166" formatCode="0.000"/>
    <numFmt numFmtId="167" formatCode="0.0000E+00"/>
    <numFmt numFmtId="168" formatCode="0.0"/>
    <numFmt numFmtId="169" formatCode="m/d/yy\ h:mm"/>
    <numFmt numFmtId="170" formatCode="0.000000"/>
    <numFmt numFmtId="171" formatCode="0.00000"/>
  </numFmts>
  <fonts count="22">
    <font>
      <sz val="10"/>
      <name val="Arial"/>
      <family val="0"/>
    </font>
    <font>
      <sz val="11"/>
      <name val="Arial"/>
      <family val="0"/>
    </font>
    <font>
      <sz val="11"/>
      <name val="Symbol"/>
      <family val="1"/>
    </font>
    <font>
      <sz val="10"/>
      <name val="Symbol"/>
      <family val="1"/>
    </font>
    <font>
      <vertAlign val="subscript"/>
      <sz val="10"/>
      <name val="Arial"/>
      <family val="2"/>
    </font>
    <font>
      <vertAlign val="superscript"/>
      <sz val="10"/>
      <name val="Arial"/>
      <family val="2"/>
    </font>
    <font>
      <i/>
      <sz val="10"/>
      <name val="Arial"/>
      <family val="2"/>
    </font>
    <font>
      <i/>
      <vertAlign val="subscript"/>
      <sz val="10"/>
      <name val="Arial"/>
      <family val="2"/>
    </font>
    <font>
      <b/>
      <sz val="10"/>
      <name val="Arial"/>
      <family val="2"/>
    </font>
    <font>
      <sz val="10"/>
      <color indexed="17"/>
      <name val="Arial"/>
      <family val="2"/>
    </font>
    <font>
      <b/>
      <sz val="10"/>
      <color indexed="17"/>
      <name val="Arial"/>
      <family val="2"/>
    </font>
    <font>
      <b/>
      <sz val="10"/>
      <color indexed="10"/>
      <name val="Arial"/>
      <family val="2"/>
    </font>
    <font>
      <b/>
      <vertAlign val="subscript"/>
      <sz val="10"/>
      <color indexed="17"/>
      <name val="Arial"/>
      <family val="2"/>
    </font>
    <font>
      <vertAlign val="superscript"/>
      <sz val="10"/>
      <color indexed="17"/>
      <name val="Arial"/>
      <family val="2"/>
    </font>
    <font>
      <vertAlign val="subscript"/>
      <sz val="10"/>
      <color indexed="17"/>
      <name val="Arial"/>
      <family val="2"/>
    </font>
    <font>
      <sz val="10"/>
      <color indexed="17"/>
      <name val="Symbol"/>
      <family val="1"/>
    </font>
    <font>
      <i/>
      <vertAlign val="superscript"/>
      <sz val="10"/>
      <name val="Arial"/>
      <family val="2"/>
    </font>
    <font>
      <sz val="10"/>
      <name val="Times New Roman"/>
      <family val="1"/>
    </font>
    <font>
      <vertAlign val="subscript"/>
      <sz val="10"/>
      <name val="Times New Roman"/>
      <family val="1"/>
    </font>
    <font>
      <i/>
      <sz val="10"/>
      <name val="Times New Roman"/>
      <family val="1"/>
    </font>
    <font>
      <b/>
      <sz val="8"/>
      <name val="Arial"/>
      <family val="2"/>
    </font>
    <font>
      <sz val="8"/>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xf>
    <xf numFmtId="11" fontId="0" fillId="0" borderId="0" xfId="0" applyNumberFormat="1"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3" fillId="0" borderId="5" xfId="0" applyFont="1" applyBorder="1" applyAlignment="1">
      <alignment/>
    </xf>
    <xf numFmtId="0" fontId="0" fillId="0" borderId="6" xfId="0" applyFont="1" applyBorder="1" applyAlignment="1">
      <alignment/>
    </xf>
    <xf numFmtId="0" fontId="6" fillId="0" borderId="0" xfId="0" applyFont="1" applyAlignment="1">
      <alignment/>
    </xf>
    <xf numFmtId="0" fontId="8" fillId="0" borderId="0" xfId="0" applyFont="1" applyAlignment="1">
      <alignment/>
    </xf>
    <xf numFmtId="165" fontId="0" fillId="0" borderId="0" xfId="0" applyNumberFormat="1" applyFont="1" applyAlignment="1">
      <alignment vertical="center"/>
    </xf>
    <xf numFmtId="11" fontId="0" fillId="0" borderId="0" xfId="0" applyNumberFormat="1" applyFont="1" applyAlignment="1">
      <alignment vertical="center"/>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6" xfId="0" applyFont="1" applyBorder="1" applyAlignment="1">
      <alignment/>
    </xf>
    <xf numFmtId="166" fontId="0" fillId="0" borderId="0" xfId="0" applyNumberFormat="1" applyFont="1" applyAlignment="1">
      <alignment/>
    </xf>
    <xf numFmtId="2" fontId="0" fillId="0" borderId="0" xfId="0" applyNumberFormat="1" applyFont="1" applyAlignment="1">
      <alignment/>
    </xf>
    <xf numFmtId="165" fontId="0" fillId="0" borderId="0" xfId="0" applyNumberFormat="1" applyFont="1" applyAlignment="1">
      <alignment/>
    </xf>
    <xf numFmtId="165" fontId="0" fillId="0" borderId="0" xfId="0" applyNumberFormat="1" applyFont="1" applyAlignment="1">
      <alignment/>
    </xf>
    <xf numFmtId="165" fontId="0" fillId="0" borderId="0" xfId="0" applyNumberFormat="1" applyFont="1" applyAlignment="1">
      <alignment/>
    </xf>
    <xf numFmtId="0" fontId="3" fillId="0" borderId="0" xfId="0" applyFont="1" applyBorder="1" applyAlignment="1">
      <alignment/>
    </xf>
    <xf numFmtId="0" fontId="0" fillId="0" borderId="0" xfId="0" applyFont="1" applyAlignment="1">
      <alignment horizontal="center"/>
    </xf>
    <xf numFmtId="166" fontId="0" fillId="0" borderId="0" xfId="0" applyNumberFormat="1" applyFont="1" applyAlignment="1">
      <alignment/>
    </xf>
    <xf numFmtId="2" fontId="11" fillId="0" borderId="0" xfId="0" applyNumberFormat="1" applyFont="1" applyAlignment="1">
      <alignment/>
    </xf>
    <xf numFmtId="166" fontId="11" fillId="0" borderId="0" xfId="0" applyNumberFormat="1" applyFont="1" applyAlignment="1">
      <alignment/>
    </xf>
    <xf numFmtId="0" fontId="11" fillId="0" borderId="0" xfId="0" applyFont="1" applyAlignment="1">
      <alignment/>
    </xf>
    <xf numFmtId="164" fontId="11" fillId="0" borderId="0" xfId="0" applyNumberFormat="1" applyFont="1" applyAlignment="1">
      <alignment/>
    </xf>
    <xf numFmtId="1" fontId="11" fillId="0" borderId="0" xfId="0" applyNumberFormat="1" applyFont="1" applyAlignment="1">
      <alignment/>
    </xf>
    <xf numFmtId="0" fontId="10" fillId="0" borderId="0" xfId="0" applyFont="1" applyBorder="1" applyAlignment="1">
      <alignment/>
    </xf>
    <xf numFmtId="0" fontId="9" fillId="0" borderId="0" xfId="0" applyFont="1" applyBorder="1" applyAlignment="1">
      <alignment/>
    </xf>
    <xf numFmtId="0" fontId="15" fillId="0" borderId="0" xfId="0" applyFont="1" applyBorder="1" applyAlignment="1">
      <alignment vertical="center"/>
    </xf>
    <xf numFmtId="0" fontId="15" fillId="0" borderId="0" xfId="0" applyFont="1" applyBorder="1" applyAlignment="1">
      <alignment/>
    </xf>
    <xf numFmtId="0" fontId="0" fillId="0" borderId="0" xfId="0" applyFont="1" applyAlignment="1">
      <alignment horizontal="right"/>
    </xf>
    <xf numFmtId="0" fontId="17" fillId="0" borderId="0" xfId="0" applyFont="1" applyBorder="1" applyAlignment="1">
      <alignment/>
    </xf>
    <xf numFmtId="1" fontId="0" fillId="0" borderId="0" xfId="0" applyNumberFormat="1" applyFont="1" applyBorder="1" applyAlignment="1">
      <alignment/>
    </xf>
    <xf numFmtId="164" fontId="0" fillId="0" borderId="0" xfId="0" applyNumberFormat="1" applyFont="1" applyAlignment="1">
      <alignment vertical="center"/>
    </xf>
    <xf numFmtId="2" fontId="0" fillId="0" borderId="0" xfId="0" applyNumberFormat="1" applyFont="1" applyAlignment="1">
      <alignment/>
    </xf>
    <xf numFmtId="0" fontId="0" fillId="0" borderId="7" xfId="0" applyFont="1" applyBorder="1" applyAlignment="1">
      <alignment vertical="top" wrapText="1"/>
    </xf>
    <xf numFmtId="0" fontId="0"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11" fontId="3" fillId="0" borderId="0" xfId="0" applyNumberFormat="1"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8" xfId="0" applyFont="1" applyBorder="1" applyAlignment="1" applyProtection="1">
      <alignment horizontal="center" vertical="center" wrapText="1"/>
      <protection hidden="1"/>
    </xf>
    <xf numFmtId="0" fontId="0" fillId="0" borderId="9"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11" fontId="0" fillId="0" borderId="0" xfId="0" applyNumberFormat="1" applyFont="1" applyAlignment="1" applyProtection="1">
      <alignment/>
      <protection hidden="1"/>
    </xf>
    <xf numFmtId="0" fontId="6" fillId="0" borderId="0" xfId="0" applyFont="1" applyAlignment="1" applyProtection="1">
      <alignment/>
      <protection hidden="1"/>
    </xf>
    <xf numFmtId="2" fontId="10" fillId="0" borderId="0" xfId="0" applyNumberFormat="1" applyFont="1" applyBorder="1" applyAlignment="1" applyProtection="1">
      <alignment/>
      <protection locked="0"/>
    </xf>
    <xf numFmtId="0" fontId="10" fillId="0" borderId="0" xfId="0" applyFont="1" applyBorder="1" applyAlignment="1" applyProtection="1">
      <alignment/>
      <protection locked="0"/>
    </xf>
    <xf numFmtId="166" fontId="10" fillId="0" borderId="0" xfId="0" applyNumberFormat="1" applyFont="1" applyBorder="1" applyAlignment="1" applyProtection="1">
      <alignment/>
      <protection locked="0"/>
    </xf>
    <xf numFmtId="0" fontId="9" fillId="0" borderId="0" xfId="0" applyFont="1" applyBorder="1" applyAlignment="1" applyProtection="1">
      <alignment horizontal="center" vertical="center"/>
      <protection locked="0"/>
    </xf>
    <xf numFmtId="1" fontId="11" fillId="0" borderId="0" xfId="0" applyNumberFormat="1" applyFont="1" applyAlignment="1">
      <alignment vertical="center"/>
    </xf>
    <xf numFmtId="166" fontId="11" fillId="0" borderId="0" xfId="0" applyNumberFormat="1" applyFont="1" applyAlignment="1">
      <alignment vertical="center"/>
    </xf>
    <xf numFmtId="166" fontId="8" fillId="0" borderId="0" xfId="0" applyNumberFormat="1" applyFont="1" applyAlignment="1">
      <alignment horizontal="right"/>
    </xf>
    <xf numFmtId="0" fontId="10" fillId="0" borderId="0" xfId="0" applyFont="1" applyBorder="1" applyAlignment="1" applyProtection="1">
      <alignment horizontal="right" vertical="center"/>
      <protection locked="0"/>
    </xf>
    <xf numFmtId="0" fontId="10" fillId="0" borderId="0" xfId="0" applyFont="1" applyBorder="1" applyAlignment="1" applyProtection="1">
      <alignment horizontal="right" vertical="center"/>
      <protection/>
    </xf>
    <xf numFmtId="0" fontId="8" fillId="0" borderId="0" xfId="0" applyFont="1" applyAlignment="1" applyProtection="1">
      <alignment horizontal="right" vertical="center"/>
      <protection/>
    </xf>
    <xf numFmtId="164" fontId="11" fillId="0" borderId="0" xfId="0" applyNumberFormat="1" applyFont="1" applyAlignment="1" applyProtection="1">
      <alignment/>
      <protection/>
    </xf>
    <xf numFmtId="166" fontId="11" fillId="0" borderId="0" xfId="0" applyNumberFormat="1" applyFont="1" applyAlignment="1" applyProtection="1">
      <alignment/>
      <protection/>
    </xf>
    <xf numFmtId="1" fontId="11" fillId="0" borderId="0" xfId="0" applyNumberFormat="1" applyFont="1" applyAlignment="1" applyProtection="1">
      <alignment/>
      <protection/>
    </xf>
    <xf numFmtId="1" fontId="11" fillId="0" borderId="0" xfId="0" applyNumberFormat="1" applyFont="1" applyAlignment="1" applyProtection="1">
      <alignment vertical="center"/>
      <protection/>
    </xf>
    <xf numFmtId="166" fontId="11" fillId="0" borderId="0" xfId="0" applyNumberFormat="1" applyFont="1" applyAlignment="1" applyProtection="1">
      <alignment vertical="center"/>
      <protection/>
    </xf>
    <xf numFmtId="11" fontId="0" fillId="0" borderId="0" xfId="0" applyNumberFormat="1" applyFont="1" applyBorder="1" applyAlignment="1" applyProtection="1">
      <alignment/>
      <protection hidden="1"/>
    </xf>
    <xf numFmtId="169" fontId="9" fillId="0" borderId="0" xfId="0" applyNumberFormat="1" applyFont="1" applyAlignment="1">
      <alignment/>
    </xf>
    <xf numFmtId="11" fontId="3" fillId="0" borderId="0" xfId="0" applyNumberFormat="1" applyFont="1" applyAlignment="1" applyProtection="1">
      <alignment/>
      <protection hidden="1"/>
    </xf>
    <xf numFmtId="11" fontId="0" fillId="0" borderId="0" xfId="0" applyNumberFormat="1" applyFont="1" applyAlignment="1" applyProtection="1">
      <alignment/>
      <protection hidden="1"/>
    </xf>
    <xf numFmtId="166" fontId="0" fillId="0" borderId="0" xfId="0" applyNumberFormat="1" applyFont="1" applyBorder="1" applyAlignment="1" applyProtection="1">
      <alignment/>
      <protection hidden="1"/>
    </xf>
    <xf numFmtId="2" fontId="0" fillId="0" borderId="0" xfId="0" applyNumberFormat="1" applyFont="1" applyBorder="1" applyAlignment="1" applyProtection="1">
      <alignment/>
      <protection hidden="1"/>
    </xf>
    <xf numFmtId="0" fontId="3"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11" fontId="3" fillId="0" borderId="0" xfId="0" applyNumberFormat="1" applyFont="1" applyBorder="1" applyAlignment="1" applyProtection="1">
      <alignment vertical="center"/>
      <protection hidden="1"/>
    </xf>
    <xf numFmtId="0" fontId="0"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11" fontId="10" fillId="0" borderId="0" xfId="0" applyNumberFormat="1" applyFont="1" applyBorder="1" applyAlignment="1" applyProtection="1">
      <alignment horizontal="right" vertical="center"/>
      <protection/>
    </xf>
    <xf numFmtId="164" fontId="10" fillId="0" borderId="0" xfId="0" applyNumberFormat="1" applyFont="1" applyBorder="1" applyAlignment="1" applyProtection="1">
      <alignment/>
      <protection locked="0"/>
    </xf>
    <xf numFmtId="0" fontId="20" fillId="0" borderId="11" xfId="0" applyFont="1" applyFill="1" applyBorder="1" applyAlignment="1">
      <alignment horizontal="left"/>
    </xf>
    <xf numFmtId="0" fontId="20" fillId="0" borderId="11" xfId="0" applyFont="1" applyFill="1" applyBorder="1" applyAlignment="1">
      <alignment horizontal="right"/>
    </xf>
    <xf numFmtId="2" fontId="20" fillId="0" borderId="11" xfId="0" applyNumberFormat="1" applyFont="1" applyFill="1" applyBorder="1" applyAlignment="1">
      <alignment horizontal="right"/>
    </xf>
    <xf numFmtId="164" fontId="20" fillId="0" borderId="11" xfId="0" applyNumberFormat="1" applyFont="1" applyFill="1" applyBorder="1" applyAlignment="1">
      <alignment horizontal="right"/>
    </xf>
    <xf numFmtId="0" fontId="21" fillId="0" borderId="0" xfId="0" applyFont="1" applyFill="1" applyBorder="1" applyAlignment="1">
      <alignment/>
    </xf>
    <xf numFmtId="1" fontId="21" fillId="0" borderId="0" xfId="0" applyNumberFormat="1" applyFont="1" applyFill="1" applyBorder="1" applyAlignment="1">
      <alignment/>
    </xf>
    <xf numFmtId="164" fontId="21" fillId="0" borderId="0" xfId="0" applyNumberFormat="1" applyFont="1" applyFill="1" applyBorder="1" applyAlignment="1">
      <alignment/>
    </xf>
    <xf numFmtId="2" fontId="21" fillId="0" borderId="0" xfId="0" applyNumberFormat="1" applyFont="1" applyFill="1" applyBorder="1" applyAlignment="1">
      <alignment/>
    </xf>
    <xf numFmtId="0" fontId="21" fillId="0" borderId="0" xfId="0" applyFont="1" applyFill="1" applyBorder="1" applyAlignment="1">
      <alignment vertical="center"/>
    </xf>
    <xf numFmtId="166" fontId="21" fillId="0" borderId="0" xfId="0" applyNumberFormat="1" applyFont="1" applyFill="1" applyBorder="1" applyAlignment="1">
      <alignment/>
    </xf>
    <xf numFmtId="164" fontId="21" fillId="0" borderId="0" xfId="0" applyNumberFormat="1" applyFont="1" applyFill="1" applyBorder="1" applyAlignment="1">
      <alignment vertical="center"/>
    </xf>
    <xf numFmtId="0" fontId="21" fillId="0" borderId="12" xfId="0" applyFont="1" applyFill="1" applyBorder="1" applyAlignment="1">
      <alignment/>
    </xf>
    <xf numFmtId="164" fontId="21" fillId="0" borderId="12" xfId="0" applyNumberFormat="1" applyFont="1" applyFill="1" applyBorder="1" applyAlignment="1">
      <alignment/>
    </xf>
    <xf numFmtId="1" fontId="21" fillId="0" borderId="0" xfId="0" applyNumberFormat="1" applyFont="1" applyFill="1" applyBorder="1" applyAlignment="1">
      <alignment vertical="center"/>
    </xf>
    <xf numFmtId="0" fontId="8" fillId="0" borderId="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0" fillId="0" borderId="0" xfId="0" applyAlignment="1">
      <alignment horizontal="center"/>
    </xf>
    <xf numFmtId="164" fontId="0" fillId="0" borderId="0" xfId="0" applyNumberFormat="1" applyAlignment="1">
      <alignment/>
    </xf>
    <xf numFmtId="0" fontId="8" fillId="0" borderId="0" xfId="0" applyFont="1" applyAlignment="1">
      <alignment horizontal="center"/>
    </xf>
    <xf numFmtId="0" fontId="8" fillId="0" borderId="12" xfId="0" applyFont="1" applyBorder="1" applyAlignment="1">
      <alignment horizontal="center"/>
    </xf>
    <xf numFmtId="170" fontId="8" fillId="0" borderId="0" xfId="0" applyNumberFormat="1" applyFont="1" applyAlignment="1">
      <alignment/>
    </xf>
    <xf numFmtId="170" fontId="8" fillId="0" borderId="12" xfId="0" applyNumberFormat="1" applyFont="1" applyBorder="1" applyAlignment="1">
      <alignment horizontal="center"/>
    </xf>
    <xf numFmtId="170" fontId="0" fillId="0" borderId="0" xfId="0" applyNumberFormat="1" applyAlignment="1">
      <alignment/>
    </xf>
    <xf numFmtId="0" fontId="0" fillId="0" borderId="13" xfId="0" applyBorder="1" applyAlignment="1">
      <alignment/>
    </xf>
    <xf numFmtId="0" fontId="0" fillId="0" borderId="14" xfId="0" applyNumberFormat="1" applyBorder="1" applyAlignment="1" applyProtection="1">
      <alignment/>
      <protection locked="0"/>
    </xf>
    <xf numFmtId="0" fontId="0" fillId="0" borderId="15" xfId="0" applyNumberFormat="1" applyBorder="1" applyAlignment="1" applyProtection="1">
      <alignment/>
      <protection locked="0"/>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7" xfId="0" applyFont="1" applyBorder="1" applyAlignment="1">
      <alignment/>
    </xf>
    <xf numFmtId="2" fontId="8" fillId="0" borderId="7" xfId="0" applyNumberFormat="1"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7" xfId="0" applyFont="1" applyBorder="1" applyAlignment="1">
      <alignment horizontal="right"/>
    </xf>
    <xf numFmtId="0" fontId="0" fillId="0" borderId="14" xfId="0" applyBorder="1" applyAlignment="1">
      <alignment horizontal="right"/>
    </xf>
    <xf numFmtId="0" fontId="0" fillId="0" borderId="0" xfId="0" applyFont="1" applyAlignment="1">
      <alignment horizontal="right"/>
    </xf>
    <xf numFmtId="11" fontId="0" fillId="0" borderId="0" xfId="0" applyNumberFormat="1" applyFont="1" applyAlignment="1">
      <alignment horizontal="right" vertical="center"/>
    </xf>
    <xf numFmtId="0" fontId="0" fillId="0" borderId="0" xfId="0" applyFont="1" applyAlignment="1">
      <alignment horizontal="right"/>
    </xf>
    <xf numFmtId="171" fontId="8" fillId="0" borderId="20" xfId="0" applyNumberFormat="1" applyFont="1" applyBorder="1" applyAlignment="1">
      <alignment/>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27" xfId="0"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tabSelected="1" workbookViewId="0" topLeftCell="A1">
      <pane xSplit="5" topLeftCell="F1" activePane="topRight" state="frozen"/>
      <selection pane="topLeft" activeCell="A1" sqref="A1"/>
      <selection pane="topRight" activeCell="B2" sqref="B2"/>
    </sheetView>
  </sheetViews>
  <sheetFormatPr defaultColWidth="9.140625" defaultRowHeight="13.5" customHeight="1"/>
  <cols>
    <col min="2" max="2" width="70.421875" style="0" customWidth="1"/>
    <col min="3" max="3" width="14.421875" style="0" customWidth="1"/>
    <col min="4" max="4" width="12.28125" style="0" customWidth="1"/>
  </cols>
  <sheetData>
    <row r="1" spans="1:5" ht="13.5" customHeight="1">
      <c r="A1" s="5"/>
      <c r="B1" s="19" t="s">
        <v>0</v>
      </c>
      <c r="C1" s="5"/>
      <c r="D1" s="5"/>
      <c r="E1" s="5"/>
    </row>
    <row r="2" spans="1:5" ht="13.5" customHeight="1">
      <c r="A2" s="5"/>
      <c r="B2" s="51" t="s">
        <v>149</v>
      </c>
      <c r="C2" s="18"/>
      <c r="D2" s="87">
        <f ca="1">NOW()</f>
        <v>37814.43280324074</v>
      </c>
      <c r="E2" s="87"/>
    </row>
    <row r="3" spans="1:5" ht="13.5" customHeight="1">
      <c r="A3" s="5"/>
      <c r="B3" s="6"/>
      <c r="D3" s="35"/>
      <c r="E3" s="5"/>
    </row>
    <row r="4" spans="1:5" ht="13.5" customHeight="1">
      <c r="A4" s="7"/>
      <c r="B4" s="135" t="s">
        <v>4</v>
      </c>
      <c r="C4" s="136" t="s">
        <v>1</v>
      </c>
      <c r="D4" s="137" t="s">
        <v>2</v>
      </c>
      <c r="E4" s="4"/>
    </row>
    <row r="5" spans="1:6" ht="13.5" customHeight="1">
      <c r="A5" s="42" t="s">
        <v>5</v>
      </c>
      <c r="B5" s="43" t="s">
        <v>6</v>
      </c>
      <c r="C5" s="71">
        <v>0</v>
      </c>
      <c r="D5" s="37">
        <f>Deriv!C3</f>
        <v>755.325</v>
      </c>
      <c r="E5" s="9" t="s">
        <v>7</v>
      </c>
      <c r="F5">
        <f>D5/747</f>
        <v>1.011144578313253</v>
      </c>
    </row>
    <row r="6" spans="1:9" ht="13.5" customHeight="1">
      <c r="A6" s="42" t="s">
        <v>8</v>
      </c>
      <c r="B6" s="43" t="s">
        <v>9</v>
      </c>
      <c r="C6" s="72">
        <v>1800</v>
      </c>
      <c r="D6" s="41">
        <f>Deriv!C4</f>
        <v>1800</v>
      </c>
      <c r="E6" s="6" t="s">
        <v>8</v>
      </c>
      <c r="F6" t="s">
        <v>171</v>
      </c>
      <c r="G6" t="s">
        <v>172</v>
      </c>
      <c r="H6">
        <f>D6*2*3.14159/60</f>
        <v>188.4954</v>
      </c>
      <c r="I6" t="s">
        <v>237</v>
      </c>
    </row>
    <row r="7" spans="1:9" ht="13.5" customHeight="1">
      <c r="A7" s="42" t="s">
        <v>10</v>
      </c>
      <c r="B7" s="43" t="s">
        <v>176</v>
      </c>
      <c r="C7" s="98">
        <v>5</v>
      </c>
      <c r="D7" s="37">
        <f>Deriv!C5</f>
        <v>5</v>
      </c>
      <c r="E7" s="6" t="s">
        <v>12</v>
      </c>
      <c r="F7">
        <f>(D7/0.101325)</f>
        <v>49.34616333580064</v>
      </c>
      <c r="G7">
        <f>(D7/0.101325)*14.7</f>
        <v>725.3886010362694</v>
      </c>
      <c r="H7">
        <f>D7*145</f>
        <v>725</v>
      </c>
      <c r="I7" t="s">
        <v>235</v>
      </c>
    </row>
    <row r="8" spans="1:9" ht="13.5" customHeight="1">
      <c r="A8" s="42" t="s">
        <v>13</v>
      </c>
      <c r="B8" s="43" t="s">
        <v>14</v>
      </c>
      <c r="C8" s="73">
        <v>45</v>
      </c>
      <c r="D8" s="37">
        <f>Deriv!C6</f>
        <v>45</v>
      </c>
      <c r="E8" s="6" t="s">
        <v>15</v>
      </c>
      <c r="H8">
        <f>3.14159*H9*H9*I9*1.5/4000</f>
        <v>241.95622972874995</v>
      </c>
      <c r="I8" t="s">
        <v>236</v>
      </c>
    </row>
    <row r="9" spans="1:9" ht="13.5" customHeight="1">
      <c r="A9" s="8"/>
      <c r="B9" s="8"/>
      <c r="C9" s="74"/>
      <c r="D9" s="8"/>
      <c r="E9" s="4"/>
      <c r="H9">
        <v>59</v>
      </c>
      <c r="I9">
        <v>59</v>
      </c>
    </row>
    <row r="10" spans="1:5" ht="13.5" customHeight="1">
      <c r="A10" s="43"/>
      <c r="B10" s="43" t="s">
        <v>161</v>
      </c>
      <c r="C10" s="78">
        <v>2</v>
      </c>
      <c r="D10" s="46"/>
      <c r="E10" s="46"/>
    </row>
    <row r="11" spans="1:5" ht="13.5" customHeight="1">
      <c r="A11" s="43" t="s">
        <v>18</v>
      </c>
      <c r="B11" s="43" t="s">
        <v>173</v>
      </c>
      <c r="C11" s="79">
        <f>CHOOSE(C10,4120,2080,287)</f>
        <v>2080</v>
      </c>
      <c r="D11" s="39">
        <f>C11</f>
        <v>2080</v>
      </c>
      <c r="E11" s="9" t="s">
        <v>162</v>
      </c>
    </row>
    <row r="12" spans="1:5" ht="13.5" customHeight="1">
      <c r="A12" s="44" t="s">
        <v>19</v>
      </c>
      <c r="B12" s="43" t="s">
        <v>174</v>
      </c>
      <c r="C12" s="79">
        <f>CHOOSE(C10,1.41,1.66,1.41)</f>
        <v>1.66</v>
      </c>
      <c r="D12" s="39">
        <f>C12</f>
        <v>1.66</v>
      </c>
      <c r="E12" s="9" t="s">
        <v>163</v>
      </c>
    </row>
    <row r="13" spans="1:5" ht="13.5" customHeight="1">
      <c r="A13" s="45" t="s">
        <v>20</v>
      </c>
      <c r="B13" s="43" t="s">
        <v>175</v>
      </c>
      <c r="C13" s="97">
        <v>1.69E-05</v>
      </c>
      <c r="D13" s="39">
        <f>C13</f>
        <v>1.69E-05</v>
      </c>
      <c r="E13" s="10" t="s">
        <v>164</v>
      </c>
    </row>
    <row r="14" spans="1:5" ht="13.5" customHeight="1">
      <c r="A14" s="34"/>
      <c r="B14" s="14"/>
      <c r="C14" s="80" t="s">
        <v>24</v>
      </c>
      <c r="D14" s="77" t="s">
        <v>23</v>
      </c>
      <c r="E14" s="4"/>
    </row>
    <row r="15" spans="1:5" ht="13.5" customHeight="1">
      <c r="A15" s="9" t="s">
        <v>21</v>
      </c>
      <c r="B15" s="22" t="s">
        <v>22</v>
      </c>
      <c r="C15" s="81">
        <f>D15/25.4</f>
        <v>1.4003516946811274</v>
      </c>
      <c r="D15" s="38">
        <f>Deriv!$C$7</f>
        <v>35.56893304490063</v>
      </c>
      <c r="E15" s="6" t="s">
        <v>23</v>
      </c>
    </row>
    <row r="16" spans="1:5" ht="13.5" customHeight="1">
      <c r="A16" s="3" t="s">
        <v>25</v>
      </c>
      <c r="B16" s="9" t="s">
        <v>26</v>
      </c>
      <c r="C16" s="81">
        <f>D16/25.4</f>
        <v>1.3875867142505858</v>
      </c>
      <c r="D16" s="41">
        <f>Deriv!C34</f>
        <v>35.24470254196488</v>
      </c>
      <c r="E16" s="9" t="s">
        <v>23</v>
      </c>
    </row>
    <row r="17" spans="1:7" ht="13.5" customHeight="1">
      <c r="A17" s="18" t="s">
        <v>156</v>
      </c>
      <c r="B17" s="22" t="s">
        <v>157</v>
      </c>
      <c r="C17" s="82">
        <f>D17/(25.4)</f>
        <v>1.808498714729142</v>
      </c>
      <c r="D17" s="38">
        <f>Deriv!C49</f>
        <v>45.935867354120205</v>
      </c>
      <c r="E17" s="9" t="s">
        <v>23</v>
      </c>
      <c r="F17">
        <f>SQRT((4*D18/3.1416)+(D15*D15))</f>
        <v>58.09686902815249</v>
      </c>
      <c r="G17">
        <f>F17/25.4</f>
        <v>2.28727830819498</v>
      </c>
    </row>
    <row r="18" spans="1:5" ht="13.5" customHeight="1">
      <c r="A18" s="18" t="s">
        <v>144</v>
      </c>
      <c r="B18" s="22" t="s">
        <v>155</v>
      </c>
      <c r="C18" s="82">
        <f>D18/(25.4*25.4)</f>
        <v>2.5687741572953806</v>
      </c>
      <c r="D18" s="41">
        <f>Deriv!C43</f>
        <v>1657.2703353206875</v>
      </c>
      <c r="E18" s="9" t="s">
        <v>154</v>
      </c>
    </row>
    <row r="19" spans="1:5" ht="13.5" customHeight="1">
      <c r="A19" s="18" t="s">
        <v>27</v>
      </c>
      <c r="B19" s="22" t="s">
        <v>28</v>
      </c>
      <c r="C19" s="81">
        <f>D19/25.4</f>
        <v>0.002782414371154375</v>
      </c>
      <c r="D19" s="40">
        <f>Deriv!C45</f>
        <v>0.07067332502732113</v>
      </c>
      <c r="E19" s="6" t="s">
        <v>23</v>
      </c>
    </row>
    <row r="20" spans="1:5" ht="13.5" customHeight="1">
      <c r="A20" s="18" t="s">
        <v>29</v>
      </c>
      <c r="B20" s="22" t="s">
        <v>30</v>
      </c>
      <c r="C20" s="83">
        <f>D20*25.4</f>
        <v>144.14488349382236</v>
      </c>
      <c r="D20" s="40">
        <f>Deriv!C46</f>
        <v>5.674995413142613</v>
      </c>
      <c r="E20" s="6" t="s">
        <v>31</v>
      </c>
    </row>
    <row r="21" spans="1:5" ht="13.5" customHeight="1">
      <c r="A21" s="18" t="s">
        <v>32</v>
      </c>
      <c r="B21" s="22" t="s">
        <v>33</v>
      </c>
      <c r="C21" s="83">
        <f>D21</f>
        <v>249.34940112369034</v>
      </c>
      <c r="D21" s="41">
        <f>Deriv!C34/(2*'GCS Main'!D19)</f>
        <v>249.34940112369034</v>
      </c>
      <c r="E21" s="9" t="s">
        <v>34</v>
      </c>
    </row>
    <row r="23" spans="1:5" ht="13.5" customHeight="1">
      <c r="A23" s="8" t="s">
        <v>35</v>
      </c>
      <c r="B23" s="8" t="s">
        <v>36</v>
      </c>
      <c r="C23" s="84">
        <f>D23</f>
        <v>263.07000000000005</v>
      </c>
      <c r="D23" s="75">
        <f>Deriv!C18</f>
        <v>263.07000000000005</v>
      </c>
      <c r="E23" s="8" t="s">
        <v>37</v>
      </c>
    </row>
    <row r="24" spans="1:5" ht="13.5" customHeight="1">
      <c r="A24" s="3" t="s">
        <v>38</v>
      </c>
      <c r="B24" s="9" t="s">
        <v>39</v>
      </c>
      <c r="C24" s="85">
        <f>D24</f>
        <v>4.248744623945236</v>
      </c>
      <c r="D24" s="76">
        <f>Deriv!C19</f>
        <v>4.248744623945236</v>
      </c>
      <c r="E24" s="9" t="s">
        <v>37</v>
      </c>
    </row>
    <row r="25" spans="1:5" ht="13.5" customHeight="1">
      <c r="A25" s="3"/>
      <c r="B25" s="9"/>
      <c r="C25" s="75"/>
      <c r="D25" s="41"/>
      <c r="E25" s="9"/>
    </row>
    <row r="26" spans="1:5" ht="13.5" customHeight="1">
      <c r="A26" s="22" t="s">
        <v>40</v>
      </c>
      <c r="B26" s="9" t="s">
        <v>41</v>
      </c>
      <c r="C26" s="75">
        <f>D26</f>
        <v>7</v>
      </c>
      <c r="D26" s="41">
        <f>IF(Deriv!C47&lt;1,1,Deriv!C47)</f>
        <v>7</v>
      </c>
      <c r="E26" s="9" t="s">
        <v>42</v>
      </c>
    </row>
    <row r="27" spans="1:5" ht="13.5" customHeight="1">
      <c r="A27" s="5" t="s">
        <v>43</v>
      </c>
      <c r="B27" s="9" t="s">
        <v>44</v>
      </c>
      <c r="C27" s="40">
        <f>D27/25.4</f>
        <v>8.017925971224729</v>
      </c>
      <c r="D27" s="41">
        <f>Deriv!C33</f>
        <v>203.6553196691081</v>
      </c>
      <c r="E27" s="9" t="s">
        <v>23</v>
      </c>
    </row>
    <row r="28" spans="1:5" ht="13.5" customHeight="1">
      <c r="A28" s="18" t="s">
        <v>45</v>
      </c>
      <c r="B28" s="22" t="s">
        <v>46</v>
      </c>
      <c r="C28" s="40">
        <f>D28/25.4</f>
        <v>0.12261211833949583</v>
      </c>
      <c r="D28" s="38">
        <f>Deriv!C39</f>
        <v>3.114347805823194</v>
      </c>
      <c r="E28" s="9" t="s">
        <v>23</v>
      </c>
    </row>
    <row r="29" spans="1:5" ht="13.5" customHeight="1">
      <c r="A29" s="18"/>
      <c r="B29" s="22"/>
      <c r="C29" s="40"/>
      <c r="D29" s="38"/>
      <c r="E29" s="9"/>
    </row>
    <row r="30" spans="1:5" ht="13.5" customHeight="1">
      <c r="A30" s="3" t="s">
        <v>47</v>
      </c>
      <c r="B30" s="9" t="s">
        <v>48</v>
      </c>
      <c r="C30" s="75">
        <f>D30</f>
        <v>164</v>
      </c>
      <c r="D30" s="41">
        <f>INT(Deriv!C48+1)</f>
        <v>164</v>
      </c>
      <c r="E30" s="9" t="s">
        <v>42</v>
      </c>
    </row>
    <row r="31" spans="1:5" ht="13.5" customHeight="1">
      <c r="A31" s="3" t="s">
        <v>49</v>
      </c>
      <c r="B31" s="9" t="s">
        <v>50</v>
      </c>
      <c r="C31" s="40">
        <f>D31/25.4</f>
        <v>2.7428745403130788</v>
      </c>
      <c r="D31" s="41">
        <f>Deriv!C35</f>
        <v>69.6690133239522</v>
      </c>
      <c r="E31" s="9" t="s">
        <v>23</v>
      </c>
    </row>
    <row r="32" spans="1:5" ht="13.5" customHeight="1">
      <c r="A32" s="18" t="s">
        <v>51</v>
      </c>
      <c r="B32" s="22" t="s">
        <v>160</v>
      </c>
      <c r="C32" s="40">
        <f>D32/25.4</f>
        <v>0.04038417020099735</v>
      </c>
      <c r="D32" s="38">
        <f>Deriv!C41</f>
        <v>1.0257579231053326</v>
      </c>
      <c r="E32" s="5" t="s">
        <v>23</v>
      </c>
    </row>
  </sheetData>
  <sheetProtection password="CC92" sheet="1" objects="1" scenarios="1"/>
  <printOptions gridLines="1"/>
  <pageMargins left="1.34" right="0.7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M54"/>
  <sheetViews>
    <sheetView workbookViewId="0" topLeftCell="A1">
      <pane xSplit="4" topLeftCell="I1" activePane="topRight" state="frozen"/>
      <selection pane="topLeft" activeCell="A1" sqref="A1"/>
      <selection pane="topRight" activeCell="B8" sqref="B8"/>
    </sheetView>
  </sheetViews>
  <sheetFormatPr defaultColWidth="9.140625" defaultRowHeight="13.5" customHeight="1"/>
  <cols>
    <col min="1" max="1" width="9.7109375" style="59" customWidth="1"/>
    <col min="2" max="2" width="68.421875" style="59" customWidth="1"/>
    <col min="3" max="3" width="13.7109375" style="59" customWidth="1"/>
    <col min="4" max="4" width="11.8515625" style="59" hidden="1" customWidth="1"/>
    <col min="5" max="5" width="3.57421875" style="59" hidden="1" customWidth="1"/>
    <col min="6" max="6" width="10.421875" style="59" hidden="1" customWidth="1"/>
    <col min="7" max="7" width="24.57421875" style="59" hidden="1" customWidth="1"/>
    <col min="8" max="16384" width="24.57421875" style="59" customWidth="1"/>
  </cols>
  <sheetData>
    <row r="1" spans="1:11" s="52" customFormat="1" ht="13.5" customHeight="1">
      <c r="A1" s="52" t="s">
        <v>0</v>
      </c>
      <c r="B1" s="53"/>
      <c r="C1" s="53"/>
      <c r="D1" s="53"/>
      <c r="G1" s="54"/>
      <c r="H1" s="54"/>
      <c r="I1" s="54"/>
      <c r="J1" s="55"/>
      <c r="K1" s="55"/>
    </row>
    <row r="2" spans="1:4" s="56" customFormat="1" ht="13.5" customHeight="1">
      <c r="A2" s="113" t="s">
        <v>54</v>
      </c>
      <c r="B2" s="114" t="s">
        <v>55</v>
      </c>
      <c r="C2" s="115" t="s">
        <v>56</v>
      </c>
      <c r="D2" s="68"/>
    </row>
    <row r="3" spans="1:4" ht="13.5" customHeight="1">
      <c r="A3" s="60" t="s">
        <v>5</v>
      </c>
      <c r="B3" s="60" t="s">
        <v>6</v>
      </c>
      <c r="C3" s="91">
        <v>7500</v>
      </c>
      <c r="D3" s="91"/>
    </row>
    <row r="4" spans="1:4" ht="13.5" customHeight="1">
      <c r="A4" s="60" t="s">
        <v>8</v>
      </c>
      <c r="B4" s="60" t="s">
        <v>9</v>
      </c>
      <c r="C4" s="60">
        <v>2000</v>
      </c>
      <c r="D4" s="91"/>
    </row>
    <row r="5" spans="1:4" ht="13.5" customHeight="1">
      <c r="A5" s="60" t="s">
        <v>65</v>
      </c>
      <c r="B5" s="60" t="s">
        <v>11</v>
      </c>
      <c r="C5" s="90">
        <v>15</v>
      </c>
      <c r="D5" s="91"/>
    </row>
    <row r="6" spans="1:4" ht="13.5" customHeight="1">
      <c r="A6" s="60" t="s">
        <v>66</v>
      </c>
      <c r="B6" s="60" t="s">
        <v>67</v>
      </c>
      <c r="C6" s="90">
        <v>134</v>
      </c>
      <c r="D6" s="91"/>
    </row>
    <row r="7" spans="1:6" ht="13.5" customHeight="1">
      <c r="A7" s="58" t="s">
        <v>78</v>
      </c>
      <c r="B7" s="58" t="s">
        <v>79</v>
      </c>
      <c r="C7" s="69">
        <f>POWER(C6,1/3)*10</f>
        <v>51.17229946912048</v>
      </c>
      <c r="D7" s="69"/>
      <c r="F7" s="59" t="s">
        <v>53</v>
      </c>
    </row>
    <row r="8" spans="1:4" s="56" customFormat="1" ht="13.5" customHeight="1">
      <c r="A8" s="92" t="s">
        <v>57</v>
      </c>
      <c r="B8" s="93" t="s">
        <v>58</v>
      </c>
      <c r="C8" s="92">
        <v>0.1119</v>
      </c>
      <c r="D8" s="92"/>
    </row>
    <row r="9" spans="1:13" ht="13.5" customHeight="1">
      <c r="A9" s="63" t="s">
        <v>74</v>
      </c>
      <c r="B9" s="63" t="s">
        <v>16</v>
      </c>
      <c r="C9" s="95" t="s">
        <v>17</v>
      </c>
      <c r="D9" s="93"/>
      <c r="L9" s="62"/>
      <c r="M9" s="62"/>
    </row>
    <row r="10" spans="1:13" ht="13.5" customHeight="1">
      <c r="A10" s="63" t="s">
        <v>18</v>
      </c>
      <c r="B10" s="63" t="s">
        <v>75</v>
      </c>
      <c r="C10" s="64">
        <v>4120</v>
      </c>
      <c r="D10" s="93"/>
      <c r="L10" s="62"/>
      <c r="M10" s="62"/>
    </row>
    <row r="11" spans="1:13" s="52" customFormat="1" ht="13.5" customHeight="1">
      <c r="A11" s="92" t="s">
        <v>19</v>
      </c>
      <c r="B11" s="63" t="s">
        <v>76</v>
      </c>
      <c r="C11" s="64">
        <v>1.4</v>
      </c>
      <c r="D11" s="93"/>
      <c r="L11" s="55"/>
      <c r="M11" s="55"/>
    </row>
    <row r="12" spans="1:4" s="52" customFormat="1" ht="13.5" customHeight="1">
      <c r="A12" s="96" t="s">
        <v>77</v>
      </c>
      <c r="B12" s="63" t="s">
        <v>166</v>
      </c>
      <c r="C12" s="86">
        <v>8.4E-06</v>
      </c>
      <c r="D12" s="93"/>
    </row>
    <row r="13" spans="1:4" ht="13.5" customHeight="1">
      <c r="A13" s="92" t="s">
        <v>70</v>
      </c>
      <c r="B13" s="93" t="s">
        <v>71</v>
      </c>
      <c r="C13" s="94">
        <v>0.00912</v>
      </c>
      <c r="D13" s="94"/>
    </row>
    <row r="14" spans="1:4" ht="13.5" customHeight="1">
      <c r="A14" s="92" t="s">
        <v>72</v>
      </c>
      <c r="B14" s="93" t="s">
        <v>73</v>
      </c>
      <c r="C14" s="94">
        <v>8526000000</v>
      </c>
      <c r="D14" s="94"/>
    </row>
    <row r="15" spans="1:4" s="56" customFormat="1" ht="13.5" customHeight="1">
      <c r="A15" s="92" t="s">
        <v>59</v>
      </c>
      <c r="B15" s="93" t="s">
        <v>60</v>
      </c>
      <c r="C15" s="92">
        <v>3.07</v>
      </c>
      <c r="D15" s="92"/>
    </row>
    <row r="16" spans="1:4" ht="13.5" customHeight="1">
      <c r="A16" s="93" t="s">
        <v>68</v>
      </c>
      <c r="B16" s="93" t="s">
        <v>69</v>
      </c>
      <c r="C16" s="92">
        <v>7.643</v>
      </c>
      <c r="D16" s="94"/>
    </row>
    <row r="17" spans="1:4" s="56" customFormat="1" ht="13.5" customHeight="1">
      <c r="A17" s="92" t="s">
        <v>61</v>
      </c>
      <c r="B17" s="63" t="s">
        <v>62</v>
      </c>
      <c r="C17" s="63">
        <v>1</v>
      </c>
      <c r="D17" s="63"/>
    </row>
    <row r="18" spans="1:4" s="56" customFormat="1" ht="13.5" customHeight="1">
      <c r="A18" s="92" t="s">
        <v>63</v>
      </c>
      <c r="B18" s="63" t="s">
        <v>64</v>
      </c>
      <c r="C18" s="63">
        <v>90</v>
      </c>
      <c r="D18" s="63"/>
    </row>
    <row r="19" spans="1:4" ht="13.5" customHeight="1">
      <c r="A19" s="65" t="s">
        <v>54</v>
      </c>
      <c r="B19" s="66" t="s">
        <v>55</v>
      </c>
      <c r="C19" s="66" t="s">
        <v>56</v>
      </c>
      <c r="D19" s="67"/>
    </row>
    <row r="20" spans="1:4" ht="13.5" customHeight="1">
      <c r="A20" s="53" t="s">
        <v>85</v>
      </c>
      <c r="B20" s="70" t="s">
        <v>150</v>
      </c>
      <c r="C20" s="69">
        <v>0.0487</v>
      </c>
      <c r="D20" s="69"/>
    </row>
    <row r="21" spans="1:4" ht="13.5" customHeight="1">
      <c r="A21" s="53" t="s">
        <v>86</v>
      </c>
      <c r="B21" s="70" t="s">
        <v>152</v>
      </c>
      <c r="C21" s="69">
        <v>1.483</v>
      </c>
      <c r="D21" s="69"/>
    </row>
    <row r="22" spans="1:4" s="56" customFormat="1" ht="13.5" customHeight="1">
      <c r="A22" s="53" t="s">
        <v>87</v>
      </c>
      <c r="B22" s="70" t="s">
        <v>151</v>
      </c>
      <c r="C22" s="69">
        <v>0.1208</v>
      </c>
      <c r="D22" s="69"/>
    </row>
    <row r="23" spans="1:4" s="52" customFormat="1" ht="13.5" customHeight="1">
      <c r="A23" s="53" t="s">
        <v>80</v>
      </c>
      <c r="B23" s="58" t="s">
        <v>81</v>
      </c>
      <c r="C23" s="69">
        <v>5.098</v>
      </c>
      <c r="D23" s="69"/>
    </row>
    <row r="24" spans="1:4" s="52" customFormat="1" ht="13.5" customHeight="1">
      <c r="A24" s="53" t="s">
        <v>82</v>
      </c>
      <c r="B24" s="58" t="s">
        <v>83</v>
      </c>
      <c r="C24" s="69">
        <v>0.8627</v>
      </c>
      <c r="D24" s="69"/>
    </row>
    <row r="25" spans="1:4" s="52" customFormat="1" ht="13.5" customHeight="1">
      <c r="A25" s="53" t="s">
        <v>84</v>
      </c>
      <c r="B25" s="58" t="s">
        <v>81</v>
      </c>
      <c r="C25" s="69">
        <v>1.765</v>
      </c>
      <c r="D25" s="69"/>
    </row>
    <row r="26" spans="1:4" s="56" customFormat="1" ht="13.5" customHeight="1">
      <c r="A26" s="53" t="s">
        <v>93</v>
      </c>
      <c r="B26" s="58" t="s">
        <v>94</v>
      </c>
      <c r="C26" s="69">
        <v>0.0147</v>
      </c>
      <c r="D26" s="69"/>
    </row>
    <row r="27" spans="1:4" s="56" customFormat="1" ht="13.5" customHeight="1">
      <c r="A27" s="53" t="s">
        <v>95</v>
      </c>
      <c r="B27" s="58" t="s">
        <v>96</v>
      </c>
      <c r="C27" s="69">
        <v>0.000535</v>
      </c>
      <c r="D27" s="69"/>
    </row>
    <row r="28" spans="1:4" s="56" customFormat="1" ht="13.5" customHeight="1">
      <c r="A28" s="53" t="s">
        <v>93</v>
      </c>
      <c r="B28" s="58" t="s">
        <v>97</v>
      </c>
      <c r="C28" s="69">
        <v>0.0049</v>
      </c>
      <c r="D28" s="69"/>
    </row>
    <row r="29" spans="1:4" s="56" customFormat="1" ht="13.5" customHeight="1">
      <c r="A29" s="58" t="s">
        <v>88</v>
      </c>
      <c r="B29" s="58" t="s">
        <v>66</v>
      </c>
      <c r="C29" s="88">
        <v>134</v>
      </c>
      <c r="D29" s="69"/>
    </row>
    <row r="30" spans="1:4" s="56" customFormat="1" ht="13.5" customHeight="1">
      <c r="A30" s="53" t="s">
        <v>45</v>
      </c>
      <c r="B30" s="58" t="s">
        <v>89</v>
      </c>
      <c r="C30" s="69">
        <v>0.2463</v>
      </c>
      <c r="D30" s="69"/>
    </row>
    <row r="31" spans="1:4" s="56" customFormat="1" ht="13.5" customHeight="1">
      <c r="A31" s="53" t="s">
        <v>90</v>
      </c>
      <c r="B31" s="58" t="s">
        <v>91</v>
      </c>
      <c r="C31" s="69">
        <v>1.298</v>
      </c>
      <c r="D31" s="69"/>
    </row>
    <row r="32" spans="1:4" s="56" customFormat="1" ht="13.5" customHeight="1">
      <c r="A32" s="53" t="s">
        <v>51</v>
      </c>
      <c r="B32" s="58" t="s">
        <v>92</v>
      </c>
      <c r="C32" s="69">
        <v>0.209</v>
      </c>
      <c r="D32" s="69"/>
    </row>
    <row r="33" spans="1:3" ht="13.5" customHeight="1">
      <c r="A33" s="5" t="s">
        <v>43</v>
      </c>
      <c r="B33" s="9" t="s">
        <v>131</v>
      </c>
      <c r="C33" s="32">
        <f aca="true" t="shared" si="0" ref="C33:C38">C27*$C$7</f>
        <v>0.027377180215979458</v>
      </c>
    </row>
    <row r="34" spans="1:3" ht="13.5" customHeight="1">
      <c r="A34" s="3" t="s">
        <v>25</v>
      </c>
      <c r="B34" s="9" t="s">
        <v>132</v>
      </c>
      <c r="C34" s="32">
        <f t="shared" si="0"/>
        <v>0.2507442673986904</v>
      </c>
    </row>
    <row r="35" spans="1:3" ht="13.5" customHeight="1">
      <c r="A35" s="3" t="s">
        <v>49</v>
      </c>
      <c r="B35" s="9" t="s">
        <v>133</v>
      </c>
      <c r="C35" s="32">
        <f t="shared" si="0"/>
        <v>6857.088128862145</v>
      </c>
    </row>
    <row r="36" spans="1:3" ht="13.5" customHeight="1">
      <c r="A36" s="18" t="s">
        <v>134</v>
      </c>
      <c r="B36" s="22" t="s">
        <v>135</v>
      </c>
      <c r="C36" s="33">
        <f t="shared" si="0"/>
        <v>12.603737359244374</v>
      </c>
    </row>
    <row r="37" spans="1:3" ht="13.5" customHeight="1">
      <c r="A37" s="18" t="s">
        <v>136</v>
      </c>
      <c r="B37" s="22" t="s">
        <v>137</v>
      </c>
      <c r="C37" s="33">
        <f t="shared" si="0"/>
        <v>66.42164471091839</v>
      </c>
    </row>
    <row r="38" spans="1:3" ht="13.5" customHeight="1">
      <c r="A38" s="18" t="s">
        <v>138</v>
      </c>
      <c r="B38" s="22" t="s">
        <v>139</v>
      </c>
      <c r="C38" s="33">
        <f t="shared" si="0"/>
        <v>10.69501058904618</v>
      </c>
    </row>
    <row r="39" spans="1:3" ht="13.5" customHeight="1">
      <c r="A39" s="18" t="s">
        <v>45</v>
      </c>
      <c r="B39" s="22" t="s">
        <v>140</v>
      </c>
      <c r="C39" s="33">
        <f>4*C36</f>
        <v>50.414949436977494</v>
      </c>
    </row>
    <row r="40" spans="1:3" ht="13.5" customHeight="1">
      <c r="A40" s="18" t="s">
        <v>90</v>
      </c>
      <c r="B40" s="22" t="s">
        <v>141</v>
      </c>
      <c r="C40" s="33"/>
    </row>
    <row r="41" spans="1:3" ht="13.5" customHeight="1">
      <c r="A41" s="18" t="s">
        <v>51</v>
      </c>
      <c r="B41" s="22" t="s">
        <v>52</v>
      </c>
      <c r="C41" s="33">
        <f>4*C38</f>
        <v>42.78004235618472</v>
      </c>
    </row>
    <row r="42" spans="1:3" ht="13.5" customHeight="1">
      <c r="A42" s="18" t="s">
        <v>142</v>
      </c>
      <c r="B42" s="22" t="s">
        <v>143</v>
      </c>
      <c r="C42" s="33">
        <f>C24*$C$7*$C$7</f>
        <v>2259.0698717723044</v>
      </c>
    </row>
    <row r="43" spans="1:3" ht="13.5" customHeight="1">
      <c r="A43" s="18" t="s">
        <v>144</v>
      </c>
      <c r="B43" s="22" t="s">
        <v>153</v>
      </c>
      <c r="C43" s="33">
        <f>C25*$C$7*$C$7</f>
        <v>4621.8364711697195</v>
      </c>
    </row>
    <row r="44" spans="1:3" ht="13.5" customHeight="1">
      <c r="A44" s="18" t="s">
        <v>145</v>
      </c>
      <c r="B44" s="22" t="s">
        <v>146</v>
      </c>
      <c r="C44" s="33">
        <f>C26*$C$7*$C$7</f>
        <v>38.49348222447302</v>
      </c>
    </row>
    <row r="45" spans="1:3" ht="13.5" customHeight="1">
      <c r="A45" s="18" t="s">
        <v>27</v>
      </c>
      <c r="B45" s="22" t="s">
        <v>147</v>
      </c>
      <c r="C45" s="33">
        <f>4*C37*(1-0.685)/0.685</f>
        <v>122.1770399062148</v>
      </c>
    </row>
    <row r="46" spans="1:3" ht="13.5" customHeight="1">
      <c r="A46" s="18" t="s">
        <v>29</v>
      </c>
      <c r="B46" s="22" t="s">
        <v>148</v>
      </c>
      <c r="C46" s="33">
        <f>4*(1-0.685)/(3.14159*C45)</f>
        <v>0.003282701853551643</v>
      </c>
    </row>
    <row r="47" spans="1:3" ht="13.5" customHeight="1">
      <c r="A47" s="22" t="s">
        <v>40</v>
      </c>
      <c r="B47" s="9" t="s">
        <v>41</v>
      </c>
      <c r="C47" s="36">
        <f>INT(0.5+(C42/((0.25*3.14159)*($C$35*$C$35))))</f>
        <v>0</v>
      </c>
    </row>
    <row r="48" spans="1:3" ht="13.5" customHeight="1">
      <c r="A48" s="3" t="s">
        <v>47</v>
      </c>
      <c r="B48" s="9" t="s">
        <v>48</v>
      </c>
      <c r="C48" s="36">
        <f>INT(0.5+($C44/(0.25*3.14159*$C$37*$C$37)))</f>
        <v>0</v>
      </c>
    </row>
    <row r="49" spans="1:3" ht="13.5" customHeight="1">
      <c r="A49" s="3" t="s">
        <v>158</v>
      </c>
      <c r="B49" s="3" t="s">
        <v>159</v>
      </c>
      <c r="C49" s="50">
        <f>SQRT((C43)*(4/3.14159))</f>
        <v>76.71186306559333</v>
      </c>
    </row>
    <row r="50" spans="1:4" ht="13.5" customHeight="1">
      <c r="A50" s="58" t="s">
        <v>98</v>
      </c>
      <c r="B50" s="58" t="s">
        <v>99</v>
      </c>
      <c r="C50" s="69">
        <v>0.685</v>
      </c>
      <c r="D50" s="69"/>
    </row>
    <row r="51" spans="1:4" ht="13.5" customHeight="1">
      <c r="A51" s="58" t="s">
        <v>27</v>
      </c>
      <c r="B51" s="58" t="s">
        <v>100</v>
      </c>
      <c r="C51" s="69">
        <v>0.05</v>
      </c>
      <c r="D51" s="69"/>
    </row>
    <row r="52" spans="1:4" ht="13.5" customHeight="1">
      <c r="A52" s="58" t="s">
        <v>29</v>
      </c>
      <c r="B52" s="58" t="s">
        <v>101</v>
      </c>
      <c r="C52" s="69">
        <v>7.874</v>
      </c>
      <c r="D52" s="69"/>
    </row>
    <row r="53" spans="1:4" ht="13.5" customHeight="1">
      <c r="A53" s="57" t="s">
        <v>68</v>
      </c>
      <c r="B53" s="57" t="s">
        <v>69</v>
      </c>
      <c r="C53" s="61">
        <v>7.643</v>
      </c>
      <c r="D53" s="69"/>
    </row>
    <row r="54" spans="3:4" ht="13.5" customHeight="1">
      <c r="C54" s="89"/>
      <c r="D54" s="89"/>
    </row>
  </sheetData>
  <sheetProtection sheet="1" objects="1" scenarios="1"/>
  <printOptions gridLines="1" headings="1"/>
  <pageMargins left="0.75" right="0.75" top="0.54" bottom="0.5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I49"/>
  <sheetViews>
    <sheetView workbookViewId="0" topLeftCell="A1">
      <pane xSplit="3" topLeftCell="H1" activePane="topRight" state="frozen"/>
      <selection pane="topLeft" activeCell="A1" sqref="A1"/>
      <selection pane="topRight" activeCell="C3" sqref="C3"/>
    </sheetView>
  </sheetViews>
  <sheetFormatPr defaultColWidth="9.140625" defaultRowHeight="13.5" customHeight="1"/>
  <cols>
    <col min="1" max="1" width="9.7109375" style="0" customWidth="1"/>
    <col min="2" max="2" width="68.421875" style="0" customWidth="1"/>
    <col min="3" max="3" width="12.28125" style="0" customWidth="1"/>
    <col min="4" max="16384" width="14.7109375" style="0" customWidth="1"/>
  </cols>
  <sheetData>
    <row r="1" spans="1:6" ht="13.5" customHeight="1">
      <c r="A1" s="7"/>
      <c r="B1" s="6"/>
      <c r="C1" s="21"/>
      <c r="D1" s="7"/>
      <c r="E1" s="7"/>
      <c r="F1" s="7"/>
    </row>
    <row r="2" spans="1:6" ht="13.5" customHeight="1">
      <c r="A2" s="5"/>
      <c r="B2" s="19" t="s">
        <v>3</v>
      </c>
      <c r="C2" s="22"/>
      <c r="D2" s="22"/>
      <c r="E2" s="22"/>
      <c r="F2" s="22"/>
    </row>
    <row r="3" spans="1:6" ht="13.5" customHeight="1">
      <c r="A3" s="23" t="s">
        <v>5</v>
      </c>
      <c r="B3" s="24" t="s">
        <v>6</v>
      </c>
      <c r="C3" s="50">
        <f>IF('GCS Main'!C5&lt;1,($C$8*('GCS Main'!$C$6/60)*'GCS Main'!$C$7*'GCS Main'!$C$8),'GCS Main'!$C$5)</f>
        <v>755.325</v>
      </c>
      <c r="D3" s="25"/>
      <c r="E3" s="22"/>
      <c r="F3" s="22"/>
    </row>
    <row r="4" spans="1:9" s="2" customFormat="1" ht="13.5" customHeight="1">
      <c r="A4" s="25" t="s">
        <v>8</v>
      </c>
      <c r="B4" s="26" t="s">
        <v>9</v>
      </c>
      <c r="C4" s="22">
        <f>IF('GCS Main'!$C6&lt;1,'GCS Main'!$C$5/($C$8*(1/60)*'GCS Main'!$C$7*'GCS Main'!$C$8),'GCS Main'!$C$6)</f>
        <v>1800</v>
      </c>
      <c r="D4" s="25">
        <v>1100</v>
      </c>
      <c r="E4" s="22"/>
      <c r="F4" s="22"/>
      <c r="G4" s="1"/>
      <c r="H4" s="1"/>
      <c r="I4" s="1"/>
    </row>
    <row r="5" spans="1:6" s="2" customFormat="1" ht="13.5" customHeight="1">
      <c r="A5" s="25" t="s">
        <v>65</v>
      </c>
      <c r="B5" s="26" t="s">
        <v>11</v>
      </c>
      <c r="C5" s="22">
        <f>IF('GCS Main'!$C7&lt;0.01,'GCS Main'!$C$5/($C$8*(1/60)*'GCS Main'!$C$6*'GCS Main'!$C$8),'GCS Main'!$C7)</f>
        <v>5</v>
      </c>
      <c r="D5" s="25">
        <v>1</v>
      </c>
      <c r="E5" s="22"/>
      <c r="F5" s="22"/>
    </row>
    <row r="6" spans="1:9" s="2" customFormat="1" ht="13.5" customHeight="1">
      <c r="A6" s="27" t="s">
        <v>66</v>
      </c>
      <c r="B6" s="28" t="s">
        <v>67</v>
      </c>
      <c r="C6" s="22">
        <f>IF('GCS Main'!$C8&lt;1,'GCS Main'!$C$5*60/($C$8*'GCS Main'!$C$7*'GCS Main'!$C$6),'GCS Main'!$C$8)</f>
        <v>45</v>
      </c>
      <c r="D6" s="25">
        <v>25</v>
      </c>
      <c r="E6" s="22"/>
      <c r="F6" s="22"/>
      <c r="G6" s="1"/>
      <c r="H6" s="1"/>
      <c r="I6" s="1"/>
    </row>
    <row r="7" spans="1:6" ht="13.5" customHeight="1">
      <c r="A7" s="22" t="s">
        <v>21</v>
      </c>
      <c r="B7" s="22" t="s">
        <v>102</v>
      </c>
      <c r="C7" s="29">
        <f>POWER(C6*0.000001,1/3)*1000</f>
        <v>35.56893304490063</v>
      </c>
      <c r="D7" s="22"/>
      <c r="E7" s="22"/>
      <c r="F7" s="29"/>
    </row>
    <row r="8" spans="1:6" ht="13.5" customHeight="1">
      <c r="A8" s="3" t="s">
        <v>103</v>
      </c>
      <c r="B8" s="3" t="s">
        <v>104</v>
      </c>
      <c r="C8" s="3">
        <v>0.1119</v>
      </c>
      <c r="D8" s="3"/>
      <c r="E8" s="3"/>
      <c r="F8" s="3"/>
    </row>
    <row r="9" spans="1:6" ht="13.5" customHeight="1">
      <c r="A9" s="11"/>
      <c r="B9" s="12" t="s">
        <v>165</v>
      </c>
      <c r="C9" s="15">
        <f>'GCS Main'!C10</f>
        <v>2</v>
      </c>
      <c r="D9" s="3"/>
      <c r="E9" s="3"/>
      <c r="F9" s="3"/>
    </row>
    <row r="10" spans="1:6" ht="13.5" customHeight="1">
      <c r="A10" s="13" t="s">
        <v>18</v>
      </c>
      <c r="B10" s="14" t="s">
        <v>105</v>
      </c>
      <c r="C10" s="15">
        <f>'GCS Main'!C11</f>
        <v>2080</v>
      </c>
      <c r="D10" s="3"/>
      <c r="E10" s="3"/>
      <c r="F10" s="3">
        <f>IF($C$9="Air",287,"")</f>
      </c>
    </row>
    <row r="11" spans="1:6" ht="13.5" customHeight="1">
      <c r="A11" s="7" t="s">
        <v>19</v>
      </c>
      <c r="B11" s="9" t="s">
        <v>106</v>
      </c>
      <c r="C11" s="15">
        <f>'GCS Main'!C12</f>
        <v>1.66</v>
      </c>
      <c r="D11" s="3"/>
      <c r="E11" s="3"/>
      <c r="F11" s="3">
        <f>IF($C$9="Air",1.4,"")</f>
      </c>
    </row>
    <row r="12" spans="1:6" ht="13.5" customHeight="1">
      <c r="A12" s="16" t="s">
        <v>107</v>
      </c>
      <c r="B12" s="17" t="s">
        <v>108</v>
      </c>
      <c r="C12" s="15">
        <f>'GCS Main'!C13</f>
        <v>1.69E-05</v>
      </c>
      <c r="D12" s="3"/>
      <c r="E12" s="3"/>
      <c r="F12" s="3">
        <f>IF($C$9="Air",0.000017,"")</f>
      </c>
    </row>
    <row r="13" spans="1:6" ht="13.5" customHeight="1">
      <c r="A13" s="47" t="s">
        <v>109</v>
      </c>
      <c r="B13" s="14" t="s">
        <v>110</v>
      </c>
      <c r="C13" s="48">
        <v>333</v>
      </c>
      <c r="D13" s="3"/>
      <c r="E13" s="3"/>
      <c r="F13" s="3"/>
    </row>
    <row r="14" spans="1:6" ht="13.5" customHeight="1">
      <c r="A14" s="4" t="s">
        <v>111</v>
      </c>
      <c r="B14" s="9" t="s">
        <v>112</v>
      </c>
      <c r="C14" s="30">
        <f>C4*(2*3.1415)/60</f>
        <v>188.49000000000004</v>
      </c>
      <c r="D14" s="3"/>
      <c r="E14" s="3"/>
      <c r="F14" s="3"/>
    </row>
    <row r="15" spans="1:6" ht="13.5" customHeight="1">
      <c r="A15" s="7" t="s">
        <v>57</v>
      </c>
      <c r="B15" s="6" t="s">
        <v>113</v>
      </c>
      <c r="C15" s="49">
        <f>C3/(C6*C14*C5)*(2*3.14159)</f>
        <v>0.11190320579341079</v>
      </c>
      <c r="D15" s="3"/>
      <c r="E15" s="3"/>
      <c r="F15" s="3"/>
    </row>
    <row r="16" spans="1:6" ht="13.5" customHeight="1">
      <c r="A16" s="7" t="s">
        <v>72</v>
      </c>
      <c r="B16" s="6" t="s">
        <v>73</v>
      </c>
      <c r="C16" s="20">
        <f>C5*1000000/((2*3.141592654*C4/60)*C12)</f>
        <v>1569575375.4547732</v>
      </c>
      <c r="D16" s="3"/>
      <c r="E16" s="3"/>
      <c r="F16" s="3"/>
    </row>
    <row r="17" spans="1:6" ht="13.5" customHeight="1">
      <c r="A17" s="7" t="s">
        <v>177</v>
      </c>
      <c r="B17" s="6" t="s">
        <v>71</v>
      </c>
      <c r="C17" s="20">
        <f>C7*0.001*(2*3.1415*C4/60)/SQRT(C10*333)</f>
        <v>0.00805573865078613</v>
      </c>
      <c r="D17" s="3"/>
      <c r="E17" s="3"/>
      <c r="F17" s="3"/>
    </row>
    <row r="18" spans="1:6" ht="13.5" customHeight="1">
      <c r="A18" s="8" t="s">
        <v>35</v>
      </c>
      <c r="B18" s="8" t="s">
        <v>36</v>
      </c>
      <c r="C18" s="20">
        <f>(C13*7900*0.0005)/((C5))</f>
        <v>263.07000000000005</v>
      </c>
      <c r="D18" s="3"/>
      <c r="E18" s="3"/>
      <c r="F18" s="3"/>
    </row>
    <row r="19" spans="1:6" ht="13.5" customHeight="1">
      <c r="A19" s="3" t="s">
        <v>38</v>
      </c>
      <c r="B19" s="9" t="s">
        <v>39</v>
      </c>
      <c r="C19" s="20">
        <f>0.000004/((C14)*(POWER(C45*0.001,2)))</f>
        <v>4.248744623945236</v>
      </c>
      <c r="D19" s="3"/>
      <c r="E19" s="3"/>
      <c r="F19" s="3"/>
    </row>
    <row r="20" spans="1:6" ht="13.5" customHeight="1">
      <c r="A20" s="4" t="s">
        <v>114</v>
      </c>
      <c r="B20" s="5" t="s">
        <v>115</v>
      </c>
      <c r="C20" s="31">
        <f>Proto!C20*(Deriv!$C$17/Proto!$C$13)</f>
        <v>0.04301693775145664</v>
      </c>
      <c r="D20" s="5"/>
      <c r="E20" s="5"/>
      <c r="F20" s="5"/>
    </row>
    <row r="21" spans="1:6" ht="13.5" customHeight="1">
      <c r="A21" s="4" t="s">
        <v>116</v>
      </c>
      <c r="B21" s="5" t="s">
        <v>117</v>
      </c>
      <c r="C21" s="31">
        <f>Proto!C21*(Deriv!$C$17/Proto!$C$13)</f>
        <v>1.3099408354293676</v>
      </c>
      <c r="D21" s="5"/>
      <c r="E21" s="5"/>
      <c r="F21" s="5"/>
    </row>
    <row r="22" spans="1:6" ht="13.5" customHeight="1">
      <c r="A22" s="4" t="s">
        <v>118</v>
      </c>
      <c r="B22" s="5" t="s">
        <v>119</v>
      </c>
      <c r="C22" s="31">
        <f>Proto!C22*(Deriv!$C$17/Proto!$C$13)</f>
        <v>0.10670320493585138</v>
      </c>
      <c r="D22" s="5"/>
      <c r="E22" s="5"/>
      <c r="F22" s="5"/>
    </row>
    <row r="23" spans="1:6" ht="13.5" customHeight="1">
      <c r="A23" s="4" t="s">
        <v>120</v>
      </c>
      <c r="B23" s="9" t="s">
        <v>121</v>
      </c>
      <c r="C23" s="32">
        <f>Proto!C30/Deriv!C20</f>
        <v>5.725651635713186</v>
      </c>
      <c r="D23" s="3"/>
      <c r="E23" s="3"/>
      <c r="F23" s="3"/>
    </row>
    <row r="24" spans="1:6" ht="13.5" customHeight="1">
      <c r="A24" s="4" t="s">
        <v>122</v>
      </c>
      <c r="B24" s="9" t="s">
        <v>123</v>
      </c>
      <c r="C24" s="32">
        <f>Proto!C31/Deriv!C21</f>
        <v>0.9908844467578922</v>
      </c>
      <c r="D24" s="3"/>
      <c r="E24" s="3"/>
      <c r="F24" s="3"/>
    </row>
    <row r="25" spans="1:6" ht="13.5" customHeight="1">
      <c r="A25" s="4" t="s">
        <v>124</v>
      </c>
      <c r="B25" s="9" t="s">
        <v>125</v>
      </c>
      <c r="C25" s="32">
        <f>Proto!C32/Deriv!C22</f>
        <v>1.9587040532254691</v>
      </c>
      <c r="D25" s="3"/>
      <c r="E25" s="3"/>
      <c r="F25" s="3"/>
    </row>
    <row r="26" spans="1:6" ht="13.5" customHeight="1">
      <c r="A26" s="4" t="s">
        <v>126</v>
      </c>
      <c r="B26" s="5" t="s">
        <v>127</v>
      </c>
      <c r="C26" s="31">
        <f>Proto!C26*(C23/Proto!C23)*POWER((Proto!C14/Deriv!C16),(1/6))</f>
        <v>0.02188952225451759</v>
      </c>
      <c r="D26" s="5"/>
      <c r="E26" s="5"/>
      <c r="F26" s="5"/>
    </row>
    <row r="27" spans="1:6" ht="13.5" customHeight="1">
      <c r="A27" s="4" t="s">
        <v>128</v>
      </c>
      <c r="B27" s="5" t="s">
        <v>129</v>
      </c>
      <c r="C27" s="31">
        <f>Proto!C27*(C24/Proto!C24)*POWER((Proto!C14/Deriv!C16),1/3)</f>
        <v>0.0010802013429118582</v>
      </c>
      <c r="D27" s="31" t="s">
        <v>53</v>
      </c>
      <c r="E27" s="5"/>
      <c r="F27" s="5"/>
    </row>
    <row r="28" spans="1:6" ht="13.5" customHeight="1">
      <c r="A28" s="4" t="s">
        <v>130</v>
      </c>
      <c r="B28" s="5" t="s">
        <v>127</v>
      </c>
      <c r="C28" s="31">
        <f>Proto!C28*(C25/Proto!C25)*POWER((Proto!C14/Deriv!C16),(1/6))</f>
        <v>0.007209647825325978</v>
      </c>
      <c r="D28" s="5"/>
      <c r="E28" s="5"/>
      <c r="F28" s="5"/>
    </row>
    <row r="29" spans="1:6" ht="13.5" customHeight="1">
      <c r="A29" s="58" t="s">
        <v>88</v>
      </c>
      <c r="B29" s="58" t="s">
        <v>167</v>
      </c>
      <c r="C29" s="88">
        <v>134</v>
      </c>
      <c r="D29" s="5"/>
      <c r="E29" s="5"/>
      <c r="F29" s="5"/>
    </row>
    <row r="30" spans="1:6" ht="13.5" customHeight="1">
      <c r="A30" s="53" t="s">
        <v>45</v>
      </c>
      <c r="B30" s="58" t="s">
        <v>170</v>
      </c>
      <c r="C30" s="69">
        <v>0.2463</v>
      </c>
      <c r="D30" s="5"/>
      <c r="E30" s="5"/>
      <c r="F30" s="5"/>
    </row>
    <row r="31" spans="1:6" ht="13.5" customHeight="1">
      <c r="A31" s="53" t="s">
        <v>90</v>
      </c>
      <c r="B31" s="58" t="s">
        <v>169</v>
      </c>
      <c r="C31" s="69">
        <v>1.298</v>
      </c>
      <c r="D31" s="5"/>
      <c r="E31" s="5"/>
      <c r="F31" s="5"/>
    </row>
    <row r="32" spans="1:6" ht="13.5" customHeight="1">
      <c r="A32" s="53" t="s">
        <v>51</v>
      </c>
      <c r="B32" s="58" t="s">
        <v>168</v>
      </c>
      <c r="C32" s="69">
        <v>0.209</v>
      </c>
      <c r="D32" s="5"/>
      <c r="E32" s="5"/>
      <c r="F32" s="5"/>
    </row>
    <row r="33" spans="1:6" ht="13.5" customHeight="1">
      <c r="A33" s="5" t="s">
        <v>43</v>
      </c>
      <c r="B33" s="9" t="s">
        <v>131</v>
      </c>
      <c r="C33" s="32">
        <f aca="true" t="shared" si="0" ref="C33:C38">C23*$C$7</f>
        <v>203.6553196691081</v>
      </c>
      <c r="D33" s="3"/>
      <c r="E33" s="3"/>
      <c r="F33" s="3"/>
    </row>
    <row r="34" spans="1:6" ht="13.5" customHeight="1">
      <c r="A34" s="3" t="s">
        <v>25</v>
      </c>
      <c r="B34" s="9" t="s">
        <v>132</v>
      </c>
      <c r="C34" s="32">
        <f t="shared" si="0"/>
        <v>35.24470254196488</v>
      </c>
      <c r="D34" s="3"/>
      <c r="E34" s="3"/>
      <c r="F34" s="3"/>
    </row>
    <row r="35" spans="1:6" ht="13.5" customHeight="1">
      <c r="A35" s="3" t="s">
        <v>49</v>
      </c>
      <c r="B35" s="9" t="s">
        <v>133</v>
      </c>
      <c r="C35" s="32">
        <f t="shared" si="0"/>
        <v>69.6690133239522</v>
      </c>
      <c r="D35" s="3"/>
      <c r="E35" s="3"/>
      <c r="F35" s="3"/>
    </row>
    <row r="36" spans="1:6" ht="13.5" customHeight="1">
      <c r="A36" s="18" t="s">
        <v>134</v>
      </c>
      <c r="B36" s="22" t="s">
        <v>135</v>
      </c>
      <c r="C36" s="33">
        <f t="shared" si="0"/>
        <v>0.7785869514557985</v>
      </c>
      <c r="D36" s="22"/>
      <c r="E36" s="22"/>
      <c r="F36" s="22"/>
    </row>
    <row r="37" spans="1:6" ht="13.5" customHeight="1">
      <c r="A37" s="18" t="s">
        <v>136</v>
      </c>
      <c r="B37" s="22" t="s">
        <v>137</v>
      </c>
      <c r="C37" s="33">
        <f t="shared" si="0"/>
        <v>0.03842160924104363</v>
      </c>
      <c r="D37" s="22"/>
      <c r="E37" s="22"/>
      <c r="F37" s="22"/>
    </row>
    <row r="38" spans="1:6" ht="13.5" customHeight="1">
      <c r="A38" s="18" t="s">
        <v>138</v>
      </c>
      <c r="B38" s="22" t="s">
        <v>139</v>
      </c>
      <c r="C38" s="33">
        <f t="shared" si="0"/>
        <v>0.25643948077633316</v>
      </c>
      <c r="D38" s="22"/>
      <c r="E38" s="22"/>
      <c r="F38" s="22"/>
    </row>
    <row r="39" spans="1:6" ht="13.5" customHeight="1">
      <c r="A39" s="18" t="s">
        <v>45</v>
      </c>
      <c r="B39" s="22" t="s">
        <v>140</v>
      </c>
      <c r="C39" s="33">
        <f>4*C36</f>
        <v>3.114347805823194</v>
      </c>
      <c r="D39" s="22"/>
      <c r="E39" s="22"/>
      <c r="F39" s="22"/>
    </row>
    <row r="40" spans="1:6" ht="13.5" customHeight="1">
      <c r="A40" s="18" t="s">
        <v>90</v>
      </c>
      <c r="B40" s="22" t="s">
        <v>141</v>
      </c>
      <c r="C40" s="33"/>
      <c r="D40" s="22"/>
      <c r="E40" s="22"/>
      <c r="F40" s="22"/>
    </row>
    <row r="41" spans="1:6" ht="13.5" customHeight="1">
      <c r="A41" s="18" t="s">
        <v>51</v>
      </c>
      <c r="B41" s="22" t="s">
        <v>52</v>
      </c>
      <c r="C41" s="33">
        <f>4*C38</f>
        <v>1.0257579231053326</v>
      </c>
      <c r="D41" s="22"/>
      <c r="E41" s="22"/>
      <c r="F41" s="22"/>
    </row>
    <row r="42" spans="1:6" ht="13.5" customHeight="1">
      <c r="A42" s="18" t="s">
        <v>142</v>
      </c>
      <c r="B42" s="22" t="s">
        <v>143</v>
      </c>
      <c r="C42" s="33">
        <f>C20*$C$7*$C$7</f>
        <v>54.42283569124577</v>
      </c>
      <c r="D42" s="22"/>
      <c r="E42" s="22"/>
      <c r="F42" s="22"/>
    </row>
    <row r="43" spans="1:6" ht="13.5" customHeight="1">
      <c r="A43" s="18" t="s">
        <v>144</v>
      </c>
      <c r="B43" s="22" t="s">
        <v>153</v>
      </c>
      <c r="C43" s="33">
        <f>C21*POWER($C$7,2)</f>
        <v>1657.2703353206875</v>
      </c>
      <c r="D43" s="22">
        <f>SQRT(2551*4/3.14)</f>
        <v>57.005978008121396</v>
      </c>
      <c r="E43" s="22"/>
      <c r="F43" s="22"/>
    </row>
    <row r="44" spans="1:6" ht="13.5" customHeight="1">
      <c r="A44" s="18" t="s">
        <v>145</v>
      </c>
      <c r="B44" s="22" t="s">
        <v>146</v>
      </c>
      <c r="C44" s="33">
        <f>C22*$C$7*$C$7</f>
        <v>134.99545280292585</v>
      </c>
      <c r="D44" s="22"/>
      <c r="E44" s="22"/>
      <c r="F44" s="22"/>
    </row>
    <row r="45" spans="1:6" ht="13.5" customHeight="1">
      <c r="A45" s="18" t="s">
        <v>27</v>
      </c>
      <c r="B45" s="22" t="s">
        <v>147</v>
      </c>
      <c r="C45" s="33">
        <f>4*C37*(1-0.685)/0.685</f>
        <v>0.07067332502732113</v>
      </c>
      <c r="D45" s="22"/>
      <c r="E45" s="22"/>
      <c r="F45" s="22"/>
    </row>
    <row r="46" spans="1:6" ht="13.5" customHeight="1">
      <c r="A46" s="18" t="s">
        <v>29</v>
      </c>
      <c r="B46" s="22" t="s">
        <v>148</v>
      </c>
      <c r="C46" s="33">
        <f>4*(1-0.685)/(3.14159*C45)</f>
        <v>5.674995413142613</v>
      </c>
      <c r="D46" s="22"/>
      <c r="E46" s="22"/>
      <c r="F46" s="22"/>
    </row>
    <row r="47" spans="1:6" ht="13.5" customHeight="1">
      <c r="A47" s="22" t="s">
        <v>40</v>
      </c>
      <c r="B47" s="9" t="s">
        <v>41</v>
      </c>
      <c r="C47" s="36">
        <f>INT(0.5+(C42/((0.25*3.14159)*($C$39*$C$39))))</f>
        <v>7</v>
      </c>
      <c r="D47" s="3"/>
      <c r="E47" s="3"/>
      <c r="F47" s="3"/>
    </row>
    <row r="48" spans="1:6" ht="13.5" customHeight="1">
      <c r="A48" s="3" t="s">
        <v>47</v>
      </c>
      <c r="B48" s="9" t="s">
        <v>48</v>
      </c>
      <c r="C48" s="36">
        <f>INT(0.5+($C44/(0.25*3.14159*$C$41*$C$41)))</f>
        <v>163</v>
      </c>
      <c r="D48" s="3"/>
      <c r="E48" s="3"/>
      <c r="F48" s="3"/>
    </row>
    <row r="49" spans="1:6" ht="13.5" customHeight="1">
      <c r="A49" s="3" t="s">
        <v>158</v>
      </c>
      <c r="B49" s="3" t="s">
        <v>159</v>
      </c>
      <c r="C49" s="50">
        <f>SQRT(C43*(4/3.14159))</f>
        <v>45.935867354120205</v>
      </c>
      <c r="D49" s="3"/>
      <c r="E49" s="3"/>
      <c r="F49" s="3"/>
    </row>
  </sheetData>
  <sheetProtection sheet="1" objects="1" scenarios="1"/>
  <printOptions gridLines="1" headings="1"/>
  <pageMargins left="0.48" right="0.75" top="0.5" bottom="0.2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1" max="1" width="10.7109375" style="116" customWidth="1"/>
    <col min="2" max="3" width="10.7109375" style="0" customWidth="1"/>
    <col min="4" max="5" width="10.7109375" style="122" customWidth="1"/>
    <col min="6" max="7" width="10.7109375" style="0" customWidth="1"/>
    <col min="8" max="8" width="16.7109375" style="0" hidden="1" customWidth="1"/>
    <col min="9" max="9" width="12.57421875" style="0" customWidth="1"/>
  </cols>
  <sheetData>
    <row r="1" spans="1:7" ht="12.75">
      <c r="A1" s="118"/>
      <c r="B1" s="19" t="s">
        <v>225</v>
      </c>
      <c r="C1" s="19"/>
      <c r="D1" s="120"/>
      <c r="E1" s="120"/>
      <c r="F1" s="19"/>
      <c r="G1" s="19"/>
    </row>
    <row r="2" spans="1:7" ht="13.5" thickBot="1">
      <c r="A2" s="119" t="s">
        <v>221</v>
      </c>
      <c r="B2" s="119" t="s">
        <v>223</v>
      </c>
      <c r="C2" s="119" t="s">
        <v>224</v>
      </c>
      <c r="D2" s="121" t="s">
        <v>218</v>
      </c>
      <c r="E2" s="121" t="s">
        <v>219</v>
      </c>
      <c r="F2" s="119" t="s">
        <v>220</v>
      </c>
      <c r="G2" s="119" t="s">
        <v>222</v>
      </c>
    </row>
    <row r="3" spans="1:8" ht="12.75">
      <c r="A3" s="116">
        <v>1</v>
      </c>
      <c r="B3" s="117">
        <f aca="true" t="shared" si="0" ref="B3:B8">D3*((1/A3)+1)*2</f>
        <v>3.114347805823194</v>
      </c>
      <c r="C3" s="117">
        <f aca="true" t="shared" si="1" ref="C3:C8">A3*B3</f>
        <v>3.114347805823194</v>
      </c>
      <c r="D3" s="122">
        <f>Deriv!$C$36</f>
        <v>0.7785869514557985</v>
      </c>
      <c r="E3" s="122">
        <f>Deriv!$C$42</f>
        <v>54.42283569124577</v>
      </c>
      <c r="F3">
        <f aca="true" t="shared" si="2" ref="F3:F8">INT((E3/(B3*C3))+1)</f>
        <v>6</v>
      </c>
      <c r="G3">
        <f>INT(Deriv!$C$33+0.5)</f>
        <v>204</v>
      </c>
      <c r="H3">
        <f>G3/25.4</f>
        <v>8.031496062992126</v>
      </c>
    </row>
    <row r="4" spans="1:7" ht="12.75">
      <c r="A4" s="116">
        <v>2</v>
      </c>
      <c r="B4" s="117">
        <f t="shared" si="0"/>
        <v>2.3357608543673956</v>
      </c>
      <c r="C4" s="117">
        <f t="shared" si="1"/>
        <v>4.671521708734791</v>
      </c>
      <c r="D4" s="122">
        <f>Deriv!$C$36</f>
        <v>0.7785869514557985</v>
      </c>
      <c r="E4" s="122">
        <f>Deriv!$C$42</f>
        <v>54.42283569124577</v>
      </c>
      <c r="F4">
        <f t="shared" si="2"/>
        <v>5</v>
      </c>
      <c r="G4">
        <f>INT(Deriv!$C$33+0.5)</f>
        <v>204</v>
      </c>
    </row>
    <row r="5" spans="1:7" ht="12.75">
      <c r="A5" s="116">
        <v>4</v>
      </c>
      <c r="B5" s="117">
        <f t="shared" si="0"/>
        <v>1.9464673786394961</v>
      </c>
      <c r="C5" s="117">
        <f t="shared" si="1"/>
        <v>7.785869514557985</v>
      </c>
      <c r="D5" s="122">
        <f>Deriv!$C$36</f>
        <v>0.7785869514557985</v>
      </c>
      <c r="E5" s="122">
        <f>Deriv!$C$42</f>
        <v>54.42283569124577</v>
      </c>
      <c r="F5">
        <f t="shared" si="2"/>
        <v>4</v>
      </c>
      <c r="G5">
        <f>INT(Deriv!$C$33+0.5)</f>
        <v>204</v>
      </c>
    </row>
    <row r="6" spans="1:7" ht="12.75">
      <c r="A6" s="116">
        <v>8</v>
      </c>
      <c r="B6" s="117">
        <f t="shared" si="0"/>
        <v>1.7518206407755466</v>
      </c>
      <c r="C6" s="117">
        <f t="shared" si="1"/>
        <v>14.014565126204372</v>
      </c>
      <c r="D6" s="122">
        <f>Deriv!$C$36</f>
        <v>0.7785869514557985</v>
      </c>
      <c r="E6" s="122">
        <f>Deriv!$C$42</f>
        <v>54.42283569124577</v>
      </c>
      <c r="F6">
        <f t="shared" si="2"/>
        <v>3</v>
      </c>
      <c r="G6">
        <f>INT(Deriv!$C$33+0.5)</f>
        <v>204</v>
      </c>
    </row>
    <row r="7" spans="1:7" ht="12.75">
      <c r="A7" s="116">
        <v>16</v>
      </c>
      <c r="B7" s="117">
        <f t="shared" si="0"/>
        <v>1.6544972718435718</v>
      </c>
      <c r="C7" s="117">
        <f t="shared" si="1"/>
        <v>26.471956349497148</v>
      </c>
      <c r="D7" s="122">
        <f>Deriv!$C$36</f>
        <v>0.7785869514557985</v>
      </c>
      <c r="E7" s="122">
        <f>Deriv!$C$42</f>
        <v>54.42283569124577</v>
      </c>
      <c r="F7">
        <f t="shared" si="2"/>
        <v>2</v>
      </c>
      <c r="G7">
        <f>INT(Deriv!$C$33+0.5)</f>
        <v>204</v>
      </c>
    </row>
    <row r="8" spans="1:7" ht="12.75">
      <c r="A8" s="116">
        <v>32</v>
      </c>
      <c r="B8" s="117">
        <f t="shared" si="0"/>
        <v>1.6058355873775845</v>
      </c>
      <c r="C8" s="117">
        <f t="shared" si="1"/>
        <v>51.3867387960827</v>
      </c>
      <c r="D8" s="122">
        <f>Deriv!$C$36</f>
        <v>0.7785869514557985</v>
      </c>
      <c r="E8" s="122">
        <f>Deriv!$C$42</f>
        <v>54.42283569124577</v>
      </c>
      <c r="F8">
        <f t="shared" si="2"/>
        <v>1</v>
      </c>
      <c r="G8">
        <f>INT(Deriv!$C$33+0.5)</f>
        <v>204</v>
      </c>
    </row>
    <row r="12" spans="1:7" ht="12.75">
      <c r="A12" s="118"/>
      <c r="B12" s="19" t="s">
        <v>226</v>
      </c>
      <c r="C12" s="19"/>
      <c r="D12" s="120"/>
      <c r="E12" s="120"/>
      <c r="F12" s="19"/>
      <c r="G12" s="19"/>
    </row>
    <row r="13" spans="1:7" ht="13.5" thickBot="1">
      <c r="A13" s="119" t="s">
        <v>221</v>
      </c>
      <c r="B13" s="119" t="s">
        <v>223</v>
      </c>
      <c r="C13" s="119" t="s">
        <v>224</v>
      </c>
      <c r="D13" s="121" t="s">
        <v>218</v>
      </c>
      <c r="E13" s="121" t="s">
        <v>219</v>
      </c>
      <c r="F13" s="119" t="s">
        <v>220</v>
      </c>
      <c r="G13" s="119" t="s">
        <v>222</v>
      </c>
    </row>
    <row r="14" spans="1:8" ht="12.75">
      <c r="A14" s="116">
        <v>1</v>
      </c>
      <c r="B14" s="117">
        <f aca="true" t="shared" si="3" ref="B14:B19">D14*((1/A14)+1)*2</f>
        <v>1.0257579231053326</v>
      </c>
      <c r="C14" s="117">
        <f aca="true" t="shared" si="4" ref="C14:C19">A14*B14</f>
        <v>1.0257579231053326</v>
      </c>
      <c r="D14" s="122">
        <f>Deriv!$C$38</f>
        <v>0.25643948077633316</v>
      </c>
      <c r="E14" s="122">
        <f>Deriv!$C$44</f>
        <v>134.99545280292585</v>
      </c>
      <c r="F14">
        <f aca="true" t="shared" si="5" ref="F14:F19">INT(E14/(B14*C14)+0.5)</f>
        <v>128</v>
      </c>
      <c r="G14">
        <f>INT(Deriv!$C$35+0.5)</f>
        <v>70</v>
      </c>
      <c r="H14">
        <f>G14/25.4</f>
        <v>2.7559055118110236</v>
      </c>
    </row>
    <row r="15" spans="1:7" ht="12.75">
      <c r="A15" s="116">
        <v>2</v>
      </c>
      <c r="B15" s="117">
        <f t="shared" si="3"/>
        <v>0.7693184423289995</v>
      </c>
      <c r="C15" s="117">
        <f t="shared" si="4"/>
        <v>1.538636884657999</v>
      </c>
      <c r="D15" s="122">
        <f>Deriv!$C$38</f>
        <v>0.25643948077633316</v>
      </c>
      <c r="E15" s="122">
        <f>Deriv!$C$44</f>
        <v>134.99545280292585</v>
      </c>
      <c r="F15">
        <f t="shared" si="5"/>
        <v>114</v>
      </c>
      <c r="G15">
        <f>INT(Deriv!$C$35+0.5)</f>
        <v>70</v>
      </c>
    </row>
    <row r="16" spans="1:7" ht="12.75">
      <c r="A16" s="116">
        <v>4</v>
      </c>
      <c r="B16" s="117">
        <f t="shared" si="3"/>
        <v>0.641098701940833</v>
      </c>
      <c r="C16" s="117">
        <f t="shared" si="4"/>
        <v>2.564394807763332</v>
      </c>
      <c r="D16" s="122">
        <f>Deriv!$C$38</f>
        <v>0.25643948077633316</v>
      </c>
      <c r="E16" s="122">
        <f>Deriv!$C$44</f>
        <v>134.99545280292585</v>
      </c>
      <c r="F16">
        <f t="shared" si="5"/>
        <v>82</v>
      </c>
      <c r="G16">
        <f>INT(Deriv!$C$35+0.5)</f>
        <v>70</v>
      </c>
    </row>
    <row r="17" spans="1:7" ht="12.75">
      <c r="A17" s="116">
        <v>8</v>
      </c>
      <c r="B17" s="117">
        <f t="shared" si="3"/>
        <v>0.5769888317467496</v>
      </c>
      <c r="C17" s="117">
        <f t="shared" si="4"/>
        <v>4.615910653973997</v>
      </c>
      <c r="D17" s="122">
        <f>Deriv!$C$38</f>
        <v>0.25643948077633316</v>
      </c>
      <c r="E17" s="122">
        <f>Deriv!$C$44</f>
        <v>134.99545280292585</v>
      </c>
      <c r="F17">
        <f t="shared" si="5"/>
        <v>51</v>
      </c>
      <c r="G17">
        <f>INT(Deriv!$C$35+0.5)</f>
        <v>70</v>
      </c>
    </row>
    <row r="18" spans="1:7" ht="12.75">
      <c r="A18" s="116">
        <v>16</v>
      </c>
      <c r="B18" s="117">
        <f t="shared" si="3"/>
        <v>0.5449338966497079</v>
      </c>
      <c r="C18" s="117">
        <f t="shared" si="4"/>
        <v>8.718942346395327</v>
      </c>
      <c r="D18" s="122">
        <f>Deriv!$C$38</f>
        <v>0.25643948077633316</v>
      </c>
      <c r="E18" s="122">
        <f>Deriv!$C$44</f>
        <v>134.99545280292585</v>
      </c>
      <c r="F18">
        <f t="shared" si="5"/>
        <v>28</v>
      </c>
      <c r="G18">
        <f>INT(Deriv!$C$35+0.5)</f>
        <v>70</v>
      </c>
    </row>
    <row r="19" spans="1:7" ht="12.75">
      <c r="A19" s="116">
        <v>32</v>
      </c>
      <c r="B19" s="117">
        <f t="shared" si="3"/>
        <v>0.5289064291011871</v>
      </c>
      <c r="C19" s="117">
        <f t="shared" si="4"/>
        <v>16.925005731237988</v>
      </c>
      <c r="D19" s="122">
        <f>Deriv!$C$38</f>
        <v>0.25643948077633316</v>
      </c>
      <c r="E19" s="122">
        <f>Deriv!$C$44</f>
        <v>134.99545280292585</v>
      </c>
      <c r="F19">
        <f t="shared" si="5"/>
        <v>15</v>
      </c>
      <c r="G19">
        <f>INT(Deriv!$C$35+0.5)</f>
        <v>70</v>
      </c>
    </row>
  </sheetData>
  <sheetProtection sheet="1" objects="1" scenarios="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F22"/>
  <sheetViews>
    <sheetView workbookViewId="0" topLeftCell="A1">
      <selection activeCell="C11" sqref="C11"/>
    </sheetView>
  </sheetViews>
  <sheetFormatPr defaultColWidth="9.140625" defaultRowHeight="12.75"/>
  <cols>
    <col min="3" max="3" width="38.8515625" style="0" customWidth="1"/>
    <col min="5" max="5" width="10.57421875" style="0" bestFit="1" customWidth="1"/>
  </cols>
  <sheetData>
    <row r="1" ht="13.5" thickBot="1"/>
    <row r="2" spans="2:6" ht="12.75">
      <c r="B2" s="126"/>
      <c r="C2" s="127" t="s">
        <v>227</v>
      </c>
      <c r="D2" s="127"/>
      <c r="E2" s="127"/>
      <c r="F2" s="123"/>
    </row>
    <row r="3" spans="2:6" ht="12.75">
      <c r="B3" s="128"/>
      <c r="C3" s="129" t="s">
        <v>232</v>
      </c>
      <c r="D3" s="129"/>
      <c r="E3" s="133" t="s">
        <v>233</v>
      </c>
      <c r="F3" s="134" t="s">
        <v>234</v>
      </c>
    </row>
    <row r="4" spans="2:6" ht="12.75">
      <c r="B4" s="128" t="s">
        <v>7</v>
      </c>
      <c r="C4" s="129" t="s">
        <v>6</v>
      </c>
      <c r="D4" s="129" t="s">
        <v>7</v>
      </c>
      <c r="E4" s="130">
        <f>IF(F$4&lt;1,F5*F$6*F$7*F$8,F$4)</f>
        <v>750.06</v>
      </c>
      <c r="F4" s="124"/>
    </row>
    <row r="5" spans="2:6" ht="12.75">
      <c r="B5" s="128" t="s">
        <v>228</v>
      </c>
      <c r="C5" s="129" t="s">
        <v>229</v>
      </c>
      <c r="D5" s="129"/>
      <c r="E5" s="130">
        <f>IF(F$5&lt;1,F$4/(F$6*F$7*F$8),F$5)</f>
        <v>30</v>
      </c>
      <c r="F5" s="124">
        <v>30</v>
      </c>
    </row>
    <row r="6" spans="2:6" ht="12.75">
      <c r="B6" s="128" t="s">
        <v>197</v>
      </c>
      <c r="C6" s="129" t="s">
        <v>231</v>
      </c>
      <c r="D6" s="129"/>
      <c r="E6" s="130">
        <f>IF(F$6&lt;1,F$4/(F$5*F$7*F$8),F$6)</f>
        <v>5</v>
      </c>
      <c r="F6" s="124">
        <v>5</v>
      </c>
    </row>
    <row r="7" spans="2:6" ht="12.75">
      <c r="B7" s="128" t="s">
        <v>198</v>
      </c>
      <c r="C7" s="129" t="s">
        <v>230</v>
      </c>
      <c r="D7" s="129"/>
      <c r="E7" s="130">
        <f>IF(F$7&lt;1,F$4/(F$5*F6*F$8),F$7)</f>
        <v>45</v>
      </c>
      <c r="F7" s="124">
        <v>45</v>
      </c>
    </row>
    <row r="8" spans="2:6" ht="13.5" thickBot="1">
      <c r="B8" s="131" t="s">
        <v>103</v>
      </c>
      <c r="C8" s="132" t="s">
        <v>104</v>
      </c>
      <c r="D8" s="132"/>
      <c r="E8" s="138">
        <f>IF(F8&lt;0.1,F$4/(F5*F6*F7),F8)</f>
        <v>0.11112</v>
      </c>
      <c r="F8" s="125">
        <v>0.11112</v>
      </c>
    </row>
    <row r="9" spans="2:6" ht="12.75">
      <c r="B9" s="139"/>
      <c r="C9" s="140"/>
      <c r="D9" s="140"/>
      <c r="E9" s="140"/>
      <c r="F9" s="141"/>
    </row>
    <row r="10" spans="2:6" ht="12.75">
      <c r="B10" s="142"/>
      <c r="C10" s="143" t="s">
        <v>238</v>
      </c>
      <c r="D10" s="143"/>
      <c r="E10" s="143"/>
      <c r="F10" s="144"/>
    </row>
    <row r="11" spans="2:6" ht="12.75">
      <c r="B11" s="142"/>
      <c r="C11" s="143"/>
      <c r="D11" s="143"/>
      <c r="E11" s="143"/>
      <c r="F11" s="144"/>
    </row>
    <row r="12" spans="2:6" ht="12.75">
      <c r="B12" s="142"/>
      <c r="C12" s="143"/>
      <c r="D12" s="143"/>
      <c r="E12" s="143"/>
      <c r="F12" s="144"/>
    </row>
    <row r="13" spans="2:6" ht="12.75">
      <c r="B13" s="142"/>
      <c r="C13" s="143"/>
      <c r="D13" s="143"/>
      <c r="E13" s="143"/>
      <c r="F13" s="144"/>
    </row>
    <row r="14" spans="2:6" ht="12.75">
      <c r="B14" s="142"/>
      <c r="C14" s="143"/>
      <c r="D14" s="143"/>
      <c r="E14" s="143"/>
      <c r="F14" s="144"/>
    </row>
    <row r="15" spans="2:6" ht="12.75">
      <c r="B15" s="142"/>
      <c r="C15" s="143"/>
      <c r="D15" s="143"/>
      <c r="E15" s="143"/>
      <c r="F15" s="144"/>
    </row>
    <row r="16" spans="2:6" ht="12.75">
      <c r="B16" s="142"/>
      <c r="C16" s="143"/>
      <c r="D16" s="143"/>
      <c r="E16" s="143"/>
      <c r="F16" s="144"/>
    </row>
    <row r="17" spans="2:6" ht="12.75">
      <c r="B17" s="142"/>
      <c r="C17" s="143"/>
      <c r="D17" s="143"/>
      <c r="E17" s="143"/>
      <c r="F17" s="144"/>
    </row>
    <row r="18" spans="2:6" ht="12.75">
      <c r="B18" s="142"/>
      <c r="C18" s="143"/>
      <c r="D18" s="143"/>
      <c r="E18" s="143"/>
      <c r="F18" s="144"/>
    </row>
    <row r="19" spans="2:6" ht="12.75">
      <c r="B19" s="142"/>
      <c r="C19" s="143"/>
      <c r="D19" s="143"/>
      <c r="E19" s="143"/>
      <c r="F19" s="144"/>
    </row>
    <row r="20" spans="2:6" ht="12.75">
      <c r="B20" s="142"/>
      <c r="C20" s="143"/>
      <c r="D20" s="143"/>
      <c r="E20" s="143"/>
      <c r="F20" s="144"/>
    </row>
    <row r="21" spans="2:6" ht="12.75">
      <c r="B21" s="142"/>
      <c r="C21" s="143"/>
      <c r="D21" s="143"/>
      <c r="E21" s="143"/>
      <c r="F21" s="144"/>
    </row>
    <row r="22" spans="2:6" ht="13.5" thickBot="1">
      <c r="B22" s="145"/>
      <c r="C22" s="146"/>
      <c r="D22" s="146"/>
      <c r="E22" s="146"/>
      <c r="F22" s="147"/>
    </row>
  </sheetData>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N31"/>
  <sheetViews>
    <sheetView workbookViewId="0" topLeftCell="A2">
      <selection activeCell="B8" sqref="B8"/>
    </sheetView>
  </sheetViews>
  <sheetFormatPr defaultColWidth="9.140625" defaultRowHeight="12.75"/>
  <cols>
    <col min="1" max="1" width="8.00390625" style="0" bestFit="1" customWidth="1"/>
    <col min="2" max="2" width="21.57421875" style="0" customWidth="1"/>
    <col min="3" max="4" width="8.7109375" style="0" customWidth="1"/>
    <col min="5" max="5" width="8.7109375" style="9" customWidth="1"/>
    <col min="6" max="7" width="8.7109375" style="0" customWidth="1"/>
    <col min="8" max="8" width="0.2890625" style="0" customWidth="1"/>
    <col min="9" max="12" width="8.7109375" style="0" customWidth="1"/>
    <col min="13" max="13" width="0.5625" style="0" customWidth="1"/>
    <col min="14" max="14" width="9.00390625" style="0" bestFit="1" customWidth="1"/>
  </cols>
  <sheetData>
    <row r="2" ht="12.75">
      <c r="C2" s="19" t="s">
        <v>216</v>
      </c>
    </row>
    <row r="3" ht="13.5" thickBot="1">
      <c r="C3" t="s">
        <v>217</v>
      </c>
    </row>
    <row r="4" spans="1:14" ht="12.75">
      <c r="A4" s="99" t="s">
        <v>5</v>
      </c>
      <c r="B4" s="99" t="s">
        <v>6</v>
      </c>
      <c r="C4" s="100">
        <v>11.078100000000003</v>
      </c>
      <c r="D4" s="100">
        <v>22.156200000000005</v>
      </c>
      <c r="E4" s="101">
        <v>44.31240000000001</v>
      </c>
      <c r="F4" s="100">
        <v>66.46860000000001</v>
      </c>
      <c r="G4" s="100">
        <v>88.62480000000002</v>
      </c>
      <c r="H4" s="100"/>
      <c r="I4" s="102">
        <v>6.781140000000001</v>
      </c>
      <c r="J4" s="102">
        <v>13.609278</v>
      </c>
      <c r="K4" s="102">
        <v>27.221241600000003</v>
      </c>
      <c r="L4" s="102">
        <v>67.14</v>
      </c>
      <c r="M4" s="100"/>
      <c r="N4" s="99" t="s">
        <v>7</v>
      </c>
    </row>
    <row r="5" spans="1:14" ht="12.75">
      <c r="A5" s="103" t="s">
        <v>8</v>
      </c>
      <c r="B5" s="103" t="s">
        <v>192</v>
      </c>
      <c r="C5" s="103">
        <v>450</v>
      </c>
      <c r="D5" s="103">
        <v>900</v>
      </c>
      <c r="E5" s="104">
        <v>1800</v>
      </c>
      <c r="F5" s="103">
        <v>2700</v>
      </c>
      <c r="G5" s="103">
        <v>3600</v>
      </c>
      <c r="H5" s="103"/>
      <c r="I5" s="105">
        <v>900</v>
      </c>
      <c r="J5" s="105">
        <v>900</v>
      </c>
      <c r="K5" s="105">
        <v>900</v>
      </c>
      <c r="L5" s="105">
        <v>900</v>
      </c>
      <c r="M5" s="103"/>
      <c r="N5" s="103" t="s">
        <v>8</v>
      </c>
    </row>
    <row r="6" spans="1:14" ht="12.75">
      <c r="A6" s="103" t="s">
        <v>197</v>
      </c>
      <c r="B6" s="103" t="s">
        <v>193</v>
      </c>
      <c r="C6" s="103">
        <v>0.33</v>
      </c>
      <c r="D6" s="103">
        <v>0.33</v>
      </c>
      <c r="E6" s="106">
        <v>0.33</v>
      </c>
      <c r="F6" s="103">
        <v>0.33</v>
      </c>
      <c r="G6" s="103">
        <v>0.33</v>
      </c>
      <c r="H6" s="103"/>
      <c r="I6" s="105">
        <v>0.101</v>
      </c>
      <c r="J6" s="105">
        <v>0.2027</v>
      </c>
      <c r="K6" s="105">
        <v>0.40544</v>
      </c>
      <c r="L6" s="105">
        <v>1</v>
      </c>
      <c r="M6" s="103"/>
      <c r="N6" s="103" t="s">
        <v>12</v>
      </c>
    </row>
    <row r="7" spans="1:14" ht="12.75">
      <c r="A7" s="103" t="s">
        <v>198</v>
      </c>
      <c r="B7" s="103" t="s">
        <v>194</v>
      </c>
      <c r="C7" s="103">
        <v>40</v>
      </c>
      <c r="D7" s="103">
        <v>40</v>
      </c>
      <c r="E7" s="106">
        <v>40</v>
      </c>
      <c r="F7" s="103">
        <v>40</v>
      </c>
      <c r="G7" s="103">
        <v>40</v>
      </c>
      <c r="H7" s="103"/>
      <c r="I7" s="105">
        <v>40</v>
      </c>
      <c r="J7" s="105">
        <v>40</v>
      </c>
      <c r="K7" s="105">
        <v>40</v>
      </c>
      <c r="L7" s="105">
        <v>40</v>
      </c>
      <c r="M7" s="103"/>
      <c r="N7" s="103" t="s">
        <v>195</v>
      </c>
    </row>
    <row r="8" spans="1:14" ht="12.75">
      <c r="A8" s="107"/>
      <c r="B8" s="103"/>
      <c r="C8" s="103"/>
      <c r="D8" s="103"/>
      <c r="E8" s="107"/>
      <c r="F8" s="103"/>
      <c r="G8" s="103"/>
      <c r="H8" s="103"/>
      <c r="I8" s="105"/>
      <c r="J8" s="105"/>
      <c r="K8" s="105"/>
      <c r="L8" s="105"/>
      <c r="M8" s="103"/>
      <c r="N8" s="103"/>
    </row>
    <row r="9" spans="1:14" ht="12.75">
      <c r="A9" s="103"/>
      <c r="B9" s="103"/>
      <c r="C9" s="103" t="s">
        <v>178</v>
      </c>
      <c r="D9" s="103" t="s">
        <v>178</v>
      </c>
      <c r="E9" s="103" t="s">
        <v>178</v>
      </c>
      <c r="F9" s="103" t="s">
        <v>178</v>
      </c>
      <c r="G9" s="103" t="s">
        <v>178</v>
      </c>
      <c r="H9" s="103"/>
      <c r="I9" s="105"/>
      <c r="J9" s="105"/>
      <c r="K9" s="105"/>
      <c r="L9" s="105"/>
      <c r="M9" s="103"/>
      <c r="N9" s="103"/>
    </row>
    <row r="10" spans="1:14" ht="12.75">
      <c r="A10" s="103" t="s">
        <v>18</v>
      </c>
      <c r="B10" s="103"/>
      <c r="C10" s="103">
        <v>287</v>
      </c>
      <c r="D10" s="103">
        <v>287</v>
      </c>
      <c r="E10" s="103">
        <v>287</v>
      </c>
      <c r="F10" s="103">
        <v>287</v>
      </c>
      <c r="G10" s="103">
        <v>287</v>
      </c>
      <c r="H10" s="103"/>
      <c r="I10" s="105">
        <v>287</v>
      </c>
      <c r="J10" s="105">
        <v>287</v>
      </c>
      <c r="K10" s="105">
        <v>287</v>
      </c>
      <c r="L10" s="105">
        <v>287</v>
      </c>
      <c r="M10" s="103"/>
      <c r="N10" s="103" t="s">
        <v>162</v>
      </c>
    </row>
    <row r="11" spans="1:14" ht="12.75">
      <c r="A11" s="107" t="s">
        <v>19</v>
      </c>
      <c r="B11" s="103"/>
      <c r="C11" s="103">
        <v>1.41</v>
      </c>
      <c r="D11" s="103">
        <v>1.41</v>
      </c>
      <c r="E11" s="103">
        <v>1.41</v>
      </c>
      <c r="F11" s="103">
        <v>1.41</v>
      </c>
      <c r="G11" s="103">
        <v>1.41</v>
      </c>
      <c r="H11" s="103"/>
      <c r="I11" s="105">
        <v>1.41</v>
      </c>
      <c r="J11" s="105">
        <v>1.41</v>
      </c>
      <c r="K11" s="105">
        <v>1.41</v>
      </c>
      <c r="L11" s="105">
        <v>1.41</v>
      </c>
      <c r="M11" s="103"/>
      <c r="N11" s="103" t="s">
        <v>163</v>
      </c>
    </row>
    <row r="12" spans="1:14" ht="12.75">
      <c r="A12" s="103" t="s">
        <v>199</v>
      </c>
      <c r="B12" s="103"/>
      <c r="C12" s="103">
        <v>1.69E-05</v>
      </c>
      <c r="D12" s="103">
        <v>1.69E-05</v>
      </c>
      <c r="E12" s="103">
        <v>1.69E-05</v>
      </c>
      <c r="F12" s="103">
        <v>1.69E-05</v>
      </c>
      <c r="G12" s="103">
        <v>1.69E-05</v>
      </c>
      <c r="H12" s="103"/>
      <c r="I12" s="105">
        <v>1.69E-05</v>
      </c>
      <c r="J12" s="105">
        <v>1.69E-05</v>
      </c>
      <c r="K12" s="105">
        <v>1.69E-05</v>
      </c>
      <c r="L12" s="105">
        <v>1.69E-05</v>
      </c>
      <c r="M12" s="103"/>
      <c r="N12" s="103" t="s">
        <v>164</v>
      </c>
    </row>
    <row r="13" spans="1:14" ht="12.75">
      <c r="A13" s="103"/>
      <c r="B13" s="103"/>
      <c r="C13" s="103" t="s">
        <v>23</v>
      </c>
      <c r="D13" s="103" t="s">
        <v>23</v>
      </c>
      <c r="E13" s="108" t="s">
        <v>23</v>
      </c>
      <c r="F13" s="103" t="s">
        <v>23</v>
      </c>
      <c r="G13" s="103" t="s">
        <v>23</v>
      </c>
      <c r="H13" s="103"/>
      <c r="I13" s="105" t="s">
        <v>23</v>
      </c>
      <c r="J13" s="105" t="s">
        <v>23</v>
      </c>
      <c r="K13" s="105" t="s">
        <v>23</v>
      </c>
      <c r="L13" s="105" t="s">
        <v>23</v>
      </c>
      <c r="M13" s="103"/>
      <c r="N13" s="103"/>
    </row>
    <row r="14" spans="1:14" ht="12.75">
      <c r="A14" s="103" t="s">
        <v>200</v>
      </c>
      <c r="B14" s="103" t="s">
        <v>185</v>
      </c>
      <c r="C14" s="105">
        <v>34.199518933533945</v>
      </c>
      <c r="D14" s="105">
        <v>34.199518933533945</v>
      </c>
      <c r="E14" s="105">
        <v>34.199518933533945</v>
      </c>
      <c r="F14" s="105">
        <v>34.199518933533945</v>
      </c>
      <c r="G14" s="105">
        <v>34.199518933533945</v>
      </c>
      <c r="H14" s="103"/>
      <c r="I14" s="105">
        <v>34.199518933533945</v>
      </c>
      <c r="J14" s="105">
        <v>34.199518933533945</v>
      </c>
      <c r="K14" s="105">
        <v>34.199518933533945</v>
      </c>
      <c r="L14" s="105">
        <v>34.199518933533945</v>
      </c>
      <c r="M14" s="103"/>
      <c r="N14" s="103" t="s">
        <v>23</v>
      </c>
    </row>
    <row r="15" spans="1:14" ht="12.75">
      <c r="A15" s="103" t="s">
        <v>201</v>
      </c>
      <c r="B15" s="103" t="s">
        <v>179</v>
      </c>
      <c r="C15" s="105">
        <v>52.367654391217854</v>
      </c>
      <c r="D15" s="105">
        <v>26.183827195608927</v>
      </c>
      <c r="E15" s="105">
        <v>13.091913597804464</v>
      </c>
      <c r="F15" s="105">
        <v>8.72794239853631</v>
      </c>
      <c r="G15" s="105">
        <v>6.545956798902232</v>
      </c>
      <c r="H15" s="103"/>
      <c r="I15" s="105">
        <v>26.183827195608927</v>
      </c>
      <c r="J15" s="105">
        <v>26.183827195608927</v>
      </c>
      <c r="K15" s="105">
        <v>26.183827195608927</v>
      </c>
      <c r="L15" s="105">
        <v>26.183827195608927</v>
      </c>
      <c r="M15" s="103"/>
      <c r="N15" s="103" t="s">
        <v>23</v>
      </c>
    </row>
    <row r="16" spans="1:14" ht="12.75">
      <c r="A16" s="103" t="s">
        <v>202</v>
      </c>
      <c r="B16" s="103" t="s">
        <v>180</v>
      </c>
      <c r="C16" s="105">
        <v>35.52965772565889</v>
      </c>
      <c r="D16" s="105">
        <v>50.246523822100826</v>
      </c>
      <c r="E16" s="105">
        <v>71.05931545131779</v>
      </c>
      <c r="F16" s="105">
        <v>87.02953216359856</v>
      </c>
      <c r="G16" s="105">
        <v>100.49304764420165</v>
      </c>
      <c r="H16" s="103"/>
      <c r="I16" s="105">
        <v>50.246523822100826</v>
      </c>
      <c r="J16" s="105">
        <v>50.246523822100826</v>
      </c>
      <c r="K16" s="105">
        <v>50.246523822100826</v>
      </c>
      <c r="L16" s="105">
        <v>50.246523822100826</v>
      </c>
      <c r="M16" s="103"/>
      <c r="N16" s="103" t="s">
        <v>23</v>
      </c>
    </row>
    <row r="17" spans="1:14" ht="12.75">
      <c r="A17" s="103" t="s">
        <v>203</v>
      </c>
      <c r="B17" s="103" t="s">
        <v>181</v>
      </c>
      <c r="C17" s="105">
        <v>991.4517005502369</v>
      </c>
      <c r="D17" s="105">
        <v>1982.9034011004737</v>
      </c>
      <c r="E17" s="105">
        <v>3965.8068022009475</v>
      </c>
      <c r="F17" s="105">
        <v>5948.710203301421</v>
      </c>
      <c r="G17" s="105">
        <v>7931.613604401895</v>
      </c>
      <c r="H17" s="103"/>
      <c r="I17" s="105">
        <v>1982.9034011004737</v>
      </c>
      <c r="J17" s="105">
        <v>1982.9034011004737</v>
      </c>
      <c r="K17" s="105">
        <v>1982.9034011004737</v>
      </c>
      <c r="L17" s="105">
        <v>1982.9034011004737</v>
      </c>
      <c r="M17" s="103"/>
      <c r="N17" s="103" t="s">
        <v>196</v>
      </c>
    </row>
    <row r="18" spans="1:14" ht="12.75">
      <c r="A18" s="103" t="s">
        <v>204</v>
      </c>
      <c r="B18" s="103" t="s">
        <v>182</v>
      </c>
      <c r="C18" s="105">
        <v>0.1636905046719509</v>
      </c>
      <c r="D18" s="105">
        <v>0.103118556252053</v>
      </c>
      <c r="E18" s="105">
        <v>0.06496061982836508</v>
      </c>
      <c r="F18" s="105">
        <v>0.04957423114841459</v>
      </c>
      <c r="G18" s="105">
        <v>0.040922626167987725</v>
      </c>
      <c r="H18" s="103"/>
      <c r="I18" s="105">
        <v>0.15301511954727542</v>
      </c>
      <c r="J18" s="105">
        <v>0.12130821741424913</v>
      </c>
      <c r="K18" s="105">
        <v>0.0962792295129208</v>
      </c>
      <c r="L18" s="105">
        <v>0.0712592866569402</v>
      </c>
      <c r="M18" s="103"/>
      <c r="N18" s="103" t="s">
        <v>23</v>
      </c>
    </row>
    <row r="19" spans="1:14" ht="12.75">
      <c r="A19" s="103" t="s">
        <v>205</v>
      </c>
      <c r="B19" s="103" t="s">
        <v>183</v>
      </c>
      <c r="C19" s="105">
        <v>2.4501775235244274</v>
      </c>
      <c r="D19" s="105">
        <v>3.889414378351514</v>
      </c>
      <c r="E19" s="105">
        <v>6.174060475735433</v>
      </c>
      <c r="F19" s="105">
        <v>8.090307929554463</v>
      </c>
      <c r="G19" s="105">
        <v>9.80071009409771</v>
      </c>
      <c r="H19" s="103"/>
      <c r="I19" s="105">
        <v>2.621118727013574</v>
      </c>
      <c r="J19" s="105">
        <v>3.3062129170688292</v>
      </c>
      <c r="K19" s="105">
        <v>4.165704247848806</v>
      </c>
      <c r="L19" s="105">
        <v>5.628330203366168</v>
      </c>
      <c r="M19" s="103"/>
      <c r="N19" s="103" t="s">
        <v>31</v>
      </c>
    </row>
    <row r="20" spans="1:14" ht="12.75">
      <c r="A20" s="103" t="s">
        <v>206</v>
      </c>
      <c r="B20" s="103" t="s">
        <v>184</v>
      </c>
      <c r="C20" s="104">
        <v>159.95935285362734</v>
      </c>
      <c r="D20" s="104">
        <v>126.95982249600023</v>
      </c>
      <c r="E20" s="104">
        <v>100.7680778939233</v>
      </c>
      <c r="F20" s="104">
        <v>88.02902431715711</v>
      </c>
      <c r="G20" s="104">
        <v>79.97967642681367</v>
      </c>
      <c r="H20" s="103"/>
      <c r="I20" s="105">
        <v>85.55960768151148</v>
      </c>
      <c r="J20" s="105">
        <v>107.92272672755192</v>
      </c>
      <c r="K20" s="105">
        <v>135.97858711621194</v>
      </c>
      <c r="L20" s="105">
        <v>183.72220958135838</v>
      </c>
      <c r="M20" s="103"/>
      <c r="N20" s="103" t="s">
        <v>34</v>
      </c>
    </row>
    <row r="21" spans="1:14" ht="12.75">
      <c r="A21" s="103"/>
      <c r="B21" s="103"/>
      <c r="C21" s="105"/>
      <c r="D21" s="105"/>
      <c r="E21" s="105"/>
      <c r="F21" s="105"/>
      <c r="G21" s="105"/>
      <c r="H21" s="103"/>
      <c r="I21" s="105"/>
      <c r="J21" s="105"/>
      <c r="K21" s="105"/>
      <c r="L21" s="105"/>
      <c r="M21" s="103"/>
      <c r="N21" s="103"/>
    </row>
    <row r="22" spans="1:14" ht="12.75">
      <c r="A22" s="107" t="s">
        <v>207</v>
      </c>
      <c r="B22" s="103" t="s">
        <v>215</v>
      </c>
      <c r="C22" s="104">
        <v>3985.909090909091</v>
      </c>
      <c r="D22" s="104">
        <v>3985.909090909091</v>
      </c>
      <c r="E22" s="112">
        <v>3985.909090909091</v>
      </c>
      <c r="F22" s="104">
        <v>3985.909090909091</v>
      </c>
      <c r="G22" s="104">
        <v>3985.909090909091</v>
      </c>
      <c r="H22" s="104"/>
      <c r="I22" s="104">
        <v>13023</v>
      </c>
      <c r="J22" s="104">
        <v>6489.146521953627</v>
      </c>
      <c r="K22" s="104">
        <v>3244.2531570639308</v>
      </c>
      <c r="L22" s="104">
        <v>1315.35</v>
      </c>
      <c r="M22" s="103"/>
      <c r="N22" s="103" t="s">
        <v>37</v>
      </c>
    </row>
    <row r="23" spans="1:14" ht="12.75">
      <c r="A23" s="103" t="s">
        <v>208</v>
      </c>
      <c r="B23" s="103" t="s">
        <v>186</v>
      </c>
      <c r="C23" s="105">
        <v>3.1679964983301074</v>
      </c>
      <c r="D23" s="105">
        <v>3.991425474239351</v>
      </c>
      <c r="E23" s="109">
        <v>5.028880974080785</v>
      </c>
      <c r="F23" s="105">
        <v>5.756631675135749</v>
      </c>
      <c r="G23" s="105">
        <v>6.335992996660215</v>
      </c>
      <c r="H23" s="103"/>
      <c r="I23" s="105">
        <v>1.8127294093266473</v>
      </c>
      <c r="J23" s="105">
        <v>2.8841724935126227</v>
      </c>
      <c r="K23" s="105">
        <v>4.578639602252074</v>
      </c>
      <c r="L23" s="105">
        <v>8.358314944861219</v>
      </c>
      <c r="M23" s="103"/>
      <c r="N23" s="103" t="s">
        <v>37</v>
      </c>
    </row>
    <row r="24" spans="1:14" ht="12.75">
      <c r="A24" s="103"/>
      <c r="B24" s="103"/>
      <c r="C24" s="105"/>
      <c r="D24" s="105"/>
      <c r="E24" s="105"/>
      <c r="F24" s="105"/>
      <c r="G24" s="105"/>
      <c r="H24" s="103"/>
      <c r="I24" s="105"/>
      <c r="J24" s="105"/>
      <c r="K24" s="105"/>
      <c r="L24" s="105"/>
      <c r="M24" s="103"/>
      <c r="N24" s="103"/>
    </row>
    <row r="25" spans="1:14" ht="12.75">
      <c r="A25" s="103" t="s">
        <v>209</v>
      </c>
      <c r="B25" s="103" t="s">
        <v>188</v>
      </c>
      <c r="C25" s="104">
        <v>1</v>
      </c>
      <c r="D25" s="104">
        <v>8</v>
      </c>
      <c r="E25" s="104">
        <v>50</v>
      </c>
      <c r="F25" s="104">
        <v>148</v>
      </c>
      <c r="G25" s="104">
        <v>318</v>
      </c>
      <c r="H25" s="103"/>
      <c r="I25" s="105">
        <v>5</v>
      </c>
      <c r="J25" s="105">
        <v>7</v>
      </c>
      <c r="K25" s="105">
        <v>8</v>
      </c>
      <c r="L25" s="105">
        <v>11</v>
      </c>
      <c r="M25" s="103"/>
      <c r="N25" s="103" t="s">
        <v>42</v>
      </c>
    </row>
    <row r="26" spans="1:14" ht="12.75">
      <c r="A26" s="103" t="s">
        <v>210</v>
      </c>
      <c r="B26" s="103" t="s">
        <v>187</v>
      </c>
      <c r="C26" s="105">
        <v>302.5972877105825</v>
      </c>
      <c r="D26" s="105">
        <v>151.29864385529126</v>
      </c>
      <c r="E26" s="105">
        <v>75.64932192764563</v>
      </c>
      <c r="F26" s="105">
        <v>50.43288128509709</v>
      </c>
      <c r="G26" s="105">
        <v>37.824660963822815</v>
      </c>
      <c r="H26" s="103"/>
      <c r="I26" s="105">
        <v>151.29864385529126</v>
      </c>
      <c r="J26" s="105">
        <v>151.29864385529126</v>
      </c>
      <c r="K26" s="105">
        <v>151.29864385529126</v>
      </c>
      <c r="L26" s="105">
        <v>151.29864385529126</v>
      </c>
      <c r="M26" s="103"/>
      <c r="N26" s="103" t="s">
        <v>23</v>
      </c>
    </row>
    <row r="27" spans="1:14" ht="12.75">
      <c r="A27" s="103" t="s">
        <v>211</v>
      </c>
      <c r="B27" s="103" t="s">
        <v>189</v>
      </c>
      <c r="C27" s="105">
        <v>5.77744380627971</v>
      </c>
      <c r="D27" s="105">
        <v>3.242480704394512</v>
      </c>
      <c r="E27" s="105">
        <v>1.8197807665291412</v>
      </c>
      <c r="F27" s="105">
        <v>1.2980049681174957</v>
      </c>
      <c r="G27" s="105">
        <v>1.0213174233361504</v>
      </c>
      <c r="H27" s="103"/>
      <c r="I27" s="105">
        <v>3.949809602892318</v>
      </c>
      <c r="J27" s="105">
        <v>3.5168520535569505</v>
      </c>
      <c r="K27" s="105">
        <v>3.133107465622542</v>
      </c>
      <c r="L27" s="105">
        <v>2.6954403394124506</v>
      </c>
      <c r="M27" s="103"/>
      <c r="N27" s="103" t="s">
        <v>23</v>
      </c>
    </row>
    <row r="28" spans="1:14" ht="12.75">
      <c r="A28" s="103"/>
      <c r="B28" s="103"/>
      <c r="C28" s="105"/>
      <c r="D28" s="105"/>
      <c r="E28" s="105"/>
      <c r="F28" s="105"/>
      <c r="G28" s="105"/>
      <c r="H28" s="103"/>
      <c r="I28" s="105"/>
      <c r="J28" s="105"/>
      <c r="K28" s="105"/>
      <c r="L28" s="105"/>
      <c r="M28" s="103"/>
      <c r="N28" s="103"/>
    </row>
    <row r="29" spans="1:14" ht="12.75">
      <c r="A29" s="103" t="s">
        <v>212</v>
      </c>
      <c r="B29" s="103" t="s">
        <v>190</v>
      </c>
      <c r="C29" s="104">
        <v>29</v>
      </c>
      <c r="D29" s="104">
        <v>181</v>
      </c>
      <c r="E29" s="104">
        <v>1146</v>
      </c>
      <c r="F29" s="104">
        <v>3377</v>
      </c>
      <c r="G29" s="104">
        <v>7271</v>
      </c>
      <c r="H29" s="103"/>
      <c r="I29" s="105">
        <v>123</v>
      </c>
      <c r="J29" s="105">
        <v>154</v>
      </c>
      <c r="K29" s="105">
        <v>194</v>
      </c>
      <c r="L29" s="105">
        <v>262</v>
      </c>
      <c r="M29" s="103"/>
      <c r="N29" s="103" t="s">
        <v>42</v>
      </c>
    </row>
    <row r="30" spans="1:14" ht="12.75">
      <c r="A30" s="103" t="s">
        <v>213</v>
      </c>
      <c r="B30" s="103" t="s">
        <v>191</v>
      </c>
      <c r="C30" s="105">
        <v>103.51634567441249</v>
      </c>
      <c r="D30" s="105">
        <v>51.758172837206246</v>
      </c>
      <c r="E30" s="105">
        <v>25.879086418603123</v>
      </c>
      <c r="F30" s="105">
        <v>17.25272427906875</v>
      </c>
      <c r="G30" s="105">
        <v>12.939543209301561</v>
      </c>
      <c r="H30" s="103"/>
      <c r="I30" s="105">
        <v>51.758172837206246</v>
      </c>
      <c r="J30" s="105">
        <v>51.758172837206246</v>
      </c>
      <c r="K30" s="105">
        <v>51.758172837206246</v>
      </c>
      <c r="L30" s="105">
        <v>51.758172837206246</v>
      </c>
      <c r="M30" s="103"/>
      <c r="N30" s="103" t="s">
        <v>23</v>
      </c>
    </row>
    <row r="31" spans="1:14" ht="13.5" thickBot="1">
      <c r="A31" s="110" t="s">
        <v>214</v>
      </c>
      <c r="B31" s="110" t="s">
        <v>189</v>
      </c>
      <c r="C31" s="111">
        <v>1.9028891855002037</v>
      </c>
      <c r="D31" s="111">
        <v>1.0679604464311567</v>
      </c>
      <c r="E31" s="111">
        <v>0.5993725351072542</v>
      </c>
      <c r="F31" s="111">
        <v>0.4275177222618127</v>
      </c>
      <c r="G31" s="111">
        <v>0.3363864617284351</v>
      </c>
      <c r="H31" s="110"/>
      <c r="I31" s="111">
        <v>1.3009300012505847</v>
      </c>
      <c r="J31" s="111">
        <v>1.1583288326307448</v>
      </c>
      <c r="K31" s="111">
        <v>1.0319367030212954</v>
      </c>
      <c r="L31" s="111">
        <v>0.8877843634677887</v>
      </c>
      <c r="M31" s="110"/>
      <c r="N31" s="110" t="s">
        <v>23</v>
      </c>
    </row>
  </sheetData>
  <sheetProtection sheet="1" objects="1" scenarios="1"/>
  <printOptions gridLines="1"/>
  <pageMargins left="0.75" right="0" top="0.5" bottom="0.5" header="0.5" footer="0.5"/>
  <pageSetup blackAndWhite="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Gentry Marketing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J. Gentry</dc:creator>
  <cp:keywords/>
  <dc:description/>
  <cp:lastModifiedBy>T.Gentry</cp:lastModifiedBy>
  <cp:lastPrinted>2003-06-14T02:53:58Z</cp:lastPrinted>
  <dcterms:created xsi:type="dcterms:W3CDTF">2002-01-16T13:33:50Z</dcterms:created>
  <cp:category/>
  <cp:version/>
  <cp:contentType/>
  <cp:contentStatus/>
</cp:coreProperties>
</file>